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2a7561537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Summary" sheetId="1" r:id="R1d5194d7bc6c4873"/>
    <x:sheet xmlns:r="http://schemas.openxmlformats.org/officeDocument/2006/relationships" name="Weekly Projections" sheetId="2" r:id="R30b0bacf87714ff5"/>
    <x:sheet xmlns:r="http://schemas.openxmlformats.org/officeDocument/2006/relationships" name="Adjustments" sheetId="3" r:id="R7e9d10a6cd1e4017"/>
    <x:sheet xmlns:r="http://schemas.openxmlformats.org/officeDocument/2006/relationships" name="Sources" sheetId="4" r:id="Refcc5480edb04dd5"/>
    <x:sheet xmlns:r="http://schemas.openxmlformats.org/officeDocument/2006/relationships" name="Audit" sheetId="5" r:id="R7ea37f9e6ca34c37"/>
    <x:sheet xmlns:r="http://schemas.openxmlformats.org/officeDocument/2006/relationships" name="FantasyPros Upload" sheetId="6" r:id="Rb481692057e64bcc"/>
    <x:sheet xmlns:r="http://schemas.openxmlformats.org/officeDocument/2006/relationships" name="Thursday Change Log" sheetId="7" r:id="R063a7a136d6e4ade"/>
    <x:sheet xmlns:r="http://schemas.openxmlformats.org/officeDocument/2006/relationships" name="Correction Inputs" sheetId="8" r:id="Rc1d3bd5f87f64428"/>
    <x:sheet xmlns:r="http://schemas.openxmlformats.org/officeDocument/2006/relationships" name="Team Reconciliation" sheetId="9" r:id="R28b5ab9fa8494470"/>
    <x:sheet xmlns:r="http://schemas.openxmlformats.org/officeDocument/2006/relationships" name="Correction Summary" sheetId="10" r:id="Redf4145b56d04e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"/>
    <x:numFmt numFmtId="201" formatCode="0%"/>
    <x:numFmt numFmtId="202" formatCode="0.00x"/>
    <x:numFmt numFmtId="203" formatCode="0.00"/>
  </x:numFmts>
  <x:fonts count="9">
    <x:font>
      <x:sz val="11"/>
      <x:name val="Carlito"/>
    </x:font>
    <x:font>
      <x:b/>
      <x:sz val="20"/>
      <x:color rgb="FFB8FF3D"/>
      <x:name val="Aptos"/>
    </x:font>
    <x:font>
      <x:sz val="11"/>
      <x:color rgb="FFFFFFFF"/>
      <x:name val="Aptos"/>
    </x:font>
    <x:font>
      <x:b/>
      <x:sz val="10"/>
      <x:color rgb="FFFFFFFF"/>
      <x:name val="Aptos"/>
    </x:font>
    <x:font>
      <x:sz val="9"/>
      <x:color rgb="FF0A1421"/>
      <x:name val="Aptos"/>
    </x:font>
    <x:font>
      <x:b/>
      <x:sz val="9"/>
      <x:color rgb="FF0A1421"/>
      <x:name val="Aptos"/>
    </x:font>
    <x:font>
      <x:b/>
      <x:sz val="18"/>
      <x:color rgb="FFB8FF3D"/>
      <x:name val="Aptos"/>
    </x:font>
    <x:font>
      <x:b/>
      <x:sz val="16"/>
      <x:color rgb="FFB8FF32"/>
      <x:name val="Carlito"/>
    </x:font>
    <x:font>
      <x:b/>
      <x:sz val="11"/>
      <x:color rgb="FFFFFFFF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0A1421"/>
      </x:patternFill>
    </x:fill>
    <x:fill>
      <x:patternFill patternType="solid">
        <x:fgColor rgb="FF12263A"/>
      </x:patternFill>
    </x:fill>
    <x:fill>
      <x:patternFill patternType="solid">
        <x:fgColor rgb="FFDDEBFF"/>
      </x:patternFill>
    </x:fill>
    <x:fill>
      <x:patternFill patternType="solid">
        <x:fgColor rgb="FFFFF7D6"/>
      </x:patternFill>
    </x:fill>
    <x:fill>
      <x:patternFill patternType="solid">
        <x:fgColor rgb="FFEAF7E3"/>
      </x:patternFill>
    </x:fill>
    <x:fill>
      <x:patternFill patternType="solid">
        <x:fgColor rgb="FF07111F"/>
      </x:patternFill>
    </x:fill>
    <x:fill>
      <x:patternFill patternType="solid">
        <x:fgColor rgb="FF10263A"/>
      </x:patternFill>
    </x:fill>
    <x:fill>
      <x:patternFill patternType="solid">
        <x:fgColor rgb="FFFFF0F0"/>
      </x:patternFill>
    </x:fill>
    <x:fill>
      <x:patternFill patternType="solid">
        <x:fgColor rgb="FFF1FFE5"/>
      </x:patternFill>
    </x:fill>
    <x:fill>
      <x:patternFill patternType="solid">
        <x:fgColor rgb="FFFFF9DB"/>
      </x:patternFill>
    </x:fill>
    <x:fill>
      <x:patternFill patternType="solid">
        <x:fgColor rgb="FF10263A"/>
      </x:patternFill>
    </x:fill>
  </x:fills>
  <x:borders count="3">
    <x:border/>
    <x:border>
      <x:left style="thin">
        <x:color rgb="FF53677B"/>
      </x:left>
      <x:right style="thin">
        <x:color rgb="FF53677B"/>
      </x:right>
      <x:top style="thin">
        <x:color rgb="FF53677B"/>
      </x:top>
      <x:bottom style="thin">
        <x:color rgb="FF53677B"/>
      </x:bottom>
    </x:border>
    <x:border>
      <x:left style="thin">
        <x:color rgb="FFD9E0E7"/>
      </x:left>
      <x:right style="thin">
        <x:color rgb="FFD9E0E7"/>
      </x:right>
      <x:top style="thin">
        <x:color rgb="FFD9E0E7"/>
      </x:top>
      <x:bottom style="thin">
        <x:color rgb="FFD9E0E7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1" fontId="4" fillId="0" borderId="2" xfId="0" applyNumberFormat="1" applyFont="1" applyFill="1" applyBorder="1" applyAlignment="1">
      <x:alignment vertical="center"/>
    </x:xf>
    <x:xf numFmtId="202" fontId="4" fillId="0" borderId="2" xfId="0" applyNumberFormat="1" applyFont="1" applyFill="1" applyBorder="1" applyAlignment="1">
      <x:alignment vertical="center"/>
    </x:xf>
    <x:xf numFmtId="203" fontId="4" fillId="0" borderId="2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201" fontId="4" fillId="5" borderId="2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203" fontId="4" fillId="5" borderId="2" xfId="0" applyNumberFormat="1" applyFont="1" applyFill="1" applyBorder="1" applyAlignment="1">
      <x:alignment vertical="center"/>
    </x:xf>
    <x:xf numFmtId="203" fontId="4" fillId="6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 applyAlignment="1">
      <x:alignment vertical="top" wrapText="1"/>
    </x:xf>
    <x:xf numFmtId="203" fontId="0" fillId="9" borderId="0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 applyAlignment="1">
      <x:alignment vertical="top" wrapText="1"/>
    </x:xf>
    <x:xf numFmtId="203" fontId="0" fillId="10" borderId="0" xfId="0" applyNumberFormat="1" applyFont="1" applyFill="1" applyBorder="1" applyAlignment="1">
      <x:alignment vertical="top" wrapText="1"/>
    </x:xf>
    <x:xf numFmtId="0" fontId="0" fillId="11" borderId="0" xfId="0" applyNumberFormat="1" applyFont="1" applyFill="1" applyBorder="1" applyAlignment="1">
      <x:alignment vertical="top" wrapText="1"/>
    </x:xf>
    <x:xf numFmtId="203" fontId="0" fillId="11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8" fillId="12" borderId="0" xfId="0" applyNumberFormat="1" applyFont="1" applyFill="1" applyBorder="1"/>
    <x:xf numFmtId="203" fontId="0" fillId="0" borderId="0" xfId="0" applyNumberFormat="1" applyFont="1" applyFill="1" applyBorder="1"/>
  </x:cellXfs>
  <x:cellStyles count="1">
    <x:cellStyle name="Normal" xfId="0"/>
  </x:cellStyles>
  <x:dxfs count="5">
    <x:dxf>
      <x:font>
        <x:b/>
        <x:color rgb="FFFFFFFF"/>
      </x:font>
      <x:fill>
        <x:patternFill>
          <x:bgColor rgb="FFFF5A5F"/>
        </x:patternFill>
      </x:fill>
    </x:dxf>
    <x:dxf>
      <x:font>
        <x:b/>
        <x:color rgb="FF2F6B1F"/>
      </x:font>
    </x:dxf>
    <x:dxf>
      <x:font>
        <x:b/>
        <x:color rgb="FFB91C1C"/>
      </x:font>
    </x:dxf>
    <x:dxf>
      <x:font>
        <x:b/>
        <x:color rgb="FF0A1421"/>
      </x:font>
      <x:fill>
        <x:patternFill>
          <x:bgColor rgb="FFB8FF3D"/>
        </x:patternFill>
      </x:fill>
    </x:dxf>
    <x:dxf>
      <x:font>
        <x:b/>
        <x:color rgb="FFFFFFFF"/>
      </x:font>
      <x:fill>
        <x:patternFill>
          <x:bgColor rgb="FFFF5A5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f0d4c70b8432e" /><Relationship Type="http://schemas.openxmlformats.org/officeDocument/2006/relationships/theme" Target="/xl/theme/theme1.xml" Id="R77beeef3bb4e4158" /><Relationship Type="http://schemas.openxmlformats.org/officeDocument/2006/relationships/sharedStrings" Target="/xl/sharedStrings.xml" Id="Rae009ee12a33476c" /><Relationship Type="http://schemas.openxmlformats.org/officeDocument/2006/relationships/worksheet" Target="/xl/worksheets/sheet1.xml" Id="R1d5194d7bc6c4873" /><Relationship Type="http://schemas.openxmlformats.org/officeDocument/2006/relationships/worksheet" Target="/xl/worksheets/sheet2.xml" Id="R30b0bacf87714ff5" /><Relationship Type="http://schemas.openxmlformats.org/officeDocument/2006/relationships/worksheet" Target="/xl/worksheets/sheet3.xml" Id="R7e9d10a6cd1e4017" /><Relationship Type="http://schemas.openxmlformats.org/officeDocument/2006/relationships/worksheet" Target="/xl/worksheets/sheet4.xml" Id="Refcc5480edb04dd5" /><Relationship Type="http://schemas.openxmlformats.org/officeDocument/2006/relationships/worksheet" Target="/xl/worksheets/sheet5.xml" Id="R7ea37f9e6ca34c37" /><Relationship Type="http://schemas.openxmlformats.org/officeDocument/2006/relationships/worksheet" Target="/xl/worksheets/sheet6.xml" Id="Rb481692057e64bcc" /><Relationship Type="http://schemas.openxmlformats.org/officeDocument/2006/relationships/worksheet" Target="/xl/worksheets/sheet7.xml" Id="R063a7a136d6e4ade" /><Relationship Type="http://schemas.openxmlformats.org/officeDocument/2006/relationships/worksheet" Target="/xl/worksheets/sheet8.xml" Id="Rc1d3bd5f87f64428" /><Relationship Type="http://schemas.openxmlformats.org/officeDocument/2006/relationships/worksheet" Target="/xl/worksheets/sheet9.xml" Id="R28b5ab9fa8494470" /><Relationship Type="http://schemas.openxmlformats.org/officeDocument/2006/relationships/worksheet" Target="/xl/worksheets/sheet10.xml" Id="Redf4145b56d04e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8" hidden="0" customWidth="1"/>
    <x:col min="4" max="4" width="8" hidden="0" customWidth="1"/>
    <x:col min="5" max="5" width="8" hidden="0" customWidth="1"/>
    <x:col min="6" max="6" width="10" hidden="0" customWidth="1"/>
    <x:col min="7" max="7" width="10" hidden="0" customWidth="1"/>
    <x:col min="8" max="8" width="10" hidden="0" customWidth="1"/>
    <x:col min="9" max="9" width="13" hidden="0" customWidth="1"/>
    <x:col min="10" max="10" width="13" hidden="0" customWidth="1"/>
    <x:col min="11" max="11" width="9" hidden="0" customWidth="1"/>
    <x:col min="12" max="12" width="9" hidden="0" customWidth="1"/>
    <x:col min="13" max="13" width="9" hidden="0" customWidth="1"/>
  </x:cols>
  <x:sheetData>
    <x:row r="1">
      <x:c r="A1" s="3" t="str">
        <x:v>FANTASY FOOTBALL BRIEF · WEEK 3 ACE RANKINGS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>
      <x:c r="A2" s="5" t="str">
        <x:v>Sept24 projection correction; comparison Thursday1:18PMCT. Original pregame file preserved. HalfPPR.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4">
      <x:c r="A4" s="9" t="str">
        <x:v>Rank</x:v>
      </x:c>
      <x:c r="B4" s="9" t="str">
        <x:v>Player</x:v>
      </x:c>
      <x:c r="C4" s="9" t="str">
        <x:v>Team</x:v>
      </x:c>
      <x:c r="D4" s="9" t="str">
        <x:v>Pos</x:v>
      </x:c>
      <x:c r="E4" s="9" t="str">
        <x:v>Opp</x:v>
      </x:c>
      <x:c r="F4" s="9" t="str">
        <x:v>ACE Pts</x:v>
      </x:c>
      <x:c r="G4" s="9" t="str">
        <x:v>Floor</x:v>
      </x:c>
      <x:c r="H4" s="9" t="str">
        <x:v>Ceiling</x:v>
      </x:c>
      <x:c r="I4" s="9" t="str">
        <x:v>Status</x:v>
      </x:c>
      <x:c r="J4" s="9" t="str">
        <x:v>Confidence</x:v>
      </x:c>
      <x:c r="K4" s="9" t="str">
        <x:v>Tier</x:v>
      </x:c>
      <x:c r="L4" s="9" t="str">
        <x:v>Prior Thu rank</x:v>
      </x:c>
      <x:c r="M4" s="9" t="str">
        <x:v>Move</x:v>
      </x:c>
    </x:row>
    <x:row r="5">
      <x:c r="A5" s="14" t="n">
        <x:f>'Weekly Projections'!BB2</x:f>
        <x:v>1</x:v>
      </x:c>
      <x:c r="B5" s="12" t="str">
        <x:f>'Weekly Projections'!A2</x:f>
        <x:v>Josh Allen</x:v>
      </x:c>
      <x:c r="C5" s="12" t="str">
        <x:f>'Weekly Projections'!B2</x:f>
        <x:v>BUF</x:v>
      </x:c>
      <x:c r="D5" s="12" t="str">
        <x:f>'Weekly Projections'!C2</x:f>
        <x:v>QB</x:v>
      </x:c>
      <x:c r="E5" s="12" t="str">
        <x:f>'Weekly Projections'!D2</x:f>
        <x:v>LAC</x:v>
      </x:c>
      <x:c r="F5" s="13" t="n">
        <x:f>'Weekly Projections'!AW2</x:f>
        <x:v>21.63887553072626</x:v>
      </x:c>
      <x:c r="G5" s="13" t="n">
        <x:f>'Weekly Projections'!AX2</x:f>
        <x:v>14.714435360893857</x:v>
      </x:c>
      <x:c r="H5" s="13" t="n">
        <x:f>'Weekly Projections'!AY2</x:f>
        <x:v>28.563315700558665</x:v>
      </x:c>
      <x:c r="I5" s="12" t="str">
        <x:f>'Weekly Projections'!H2</x:f>
        <x:v>ACTIVE</x:v>
      </x:c>
      <x:c r="J5" s="12" t="str">
        <x:f>'Weekly Projections'!AZ2</x:f>
        <x:v>High</x:v>
      </x:c>
      <x:c r="K5" s="12" t="n">
        <x:f>'Weekly Projections'!BA2</x:f>
        <x:v>1</x:v>
      </x:c>
      <x:c r="L5" s="12" t="n">
        <x:f>'Weekly Projections'!BC2</x:f>
        <x:v>1</x:v>
      </x:c>
      <x:c r="M5" s="12" t="str">
        <x:f>'Weekly Projections'!BD2</x:f>
        <x:v>→</x:v>
      </x:c>
    </x:row>
    <x:row r="6">
      <x:c r="A6" s="14" t="n">
        <x:f>'Weekly Projections'!BB3</x:f>
        <x:v>2</x:v>
      </x:c>
      <x:c r="B6" s="12" t="str">
        <x:f>'Weekly Projections'!A3</x:f>
        <x:v>Lamar Jackson</x:v>
      </x:c>
      <x:c r="C6" s="12" t="str">
        <x:f>'Weekly Projections'!B3</x:f>
        <x:v>BAL</x:v>
      </x:c>
      <x:c r="D6" s="12" t="str">
        <x:f>'Weekly Projections'!C3</x:f>
        <x:v>QB</x:v>
      </x:c>
      <x:c r="E6" s="12" t="str">
        <x:f>'Weekly Projections'!D3</x:f>
        <x:v>DAL</x:v>
      </x:c>
      <x:c r="F6" s="13" t="n">
        <x:f>'Weekly Projections'!AW3</x:f>
        <x:v>20.445036871508382</x:v>
      </x:c>
      <x:c r="G6" s="13" t="n">
        <x:f>'Weekly Projections'!AX3</x:f>
        <x:v>13.902625072625701</x:v>
      </x:c>
      <x:c r="H6" s="13" t="n">
        <x:f>'Weekly Projections'!AY3</x:f>
        <x:v>26.987448670391064</x:v>
      </x:c>
      <x:c r="I6" s="12" t="str">
        <x:f>'Weekly Projections'!H3</x:f>
        <x:v>ACTIVE</x:v>
      </x:c>
      <x:c r="J6" s="12" t="str">
        <x:f>'Weekly Projections'!AZ3</x:f>
        <x:v>High</x:v>
      </x:c>
      <x:c r="K6" s="12" t="n">
        <x:f>'Weekly Projections'!BA3</x:f>
        <x:v>1</x:v>
      </x:c>
      <x:c r="L6" s="12" t="n">
        <x:f>'Weekly Projections'!BC3</x:f>
        <x:v>2</x:v>
      </x:c>
      <x:c r="M6" s="12" t="str">
        <x:f>'Weekly Projections'!BD3</x:f>
        <x:v>→</x:v>
      </x:c>
    </x:row>
    <x:row r="7">
      <x:c r="A7" s="14" t="n">
        <x:f>'Weekly Projections'!BB4</x:f>
        <x:v>3</x:v>
      </x:c>
      <x:c r="B7" s="12" t="str">
        <x:f>'Weekly Projections'!A4</x:f>
        <x:v>Jalen Hurts</x:v>
      </x:c>
      <x:c r="C7" s="12" t="str">
        <x:f>'Weekly Projections'!B4</x:f>
        <x:v>PHI</x:v>
      </x:c>
      <x:c r="D7" s="12" t="str">
        <x:f>'Weekly Projections'!C4</x:f>
        <x:v>QB</x:v>
      </x:c>
      <x:c r="E7" s="12" t="str">
        <x:f>'Weekly Projections'!D4</x:f>
        <x:v>CHI</x:v>
      </x:c>
      <x:c r="F7" s="13" t="n">
        <x:f>'Weekly Projections'!AW4</x:f>
        <x:v>19.50931452513967</x:v>
      </x:c>
      <x:c r="G7" s="13" t="n">
        <x:f>'Weekly Projections'!AX4</x:f>
        <x:v>13.266333877094976</x:v>
      </x:c>
      <x:c r="H7" s="13" t="n">
        <x:f>'Weekly Projections'!AY4</x:f>
        <x:v>25.752295173184365</x:v>
      </x:c>
      <x:c r="I7" s="12" t="str">
        <x:f>'Weekly Projections'!H4</x:f>
        <x:v>ACTIVE</x:v>
      </x:c>
      <x:c r="J7" s="12" t="str">
        <x:f>'Weekly Projections'!AZ4</x:f>
        <x:v>High</x:v>
      </x:c>
      <x:c r="K7" s="12" t="n">
        <x:f>'Weekly Projections'!BA4</x:f>
        <x:v>1</x:v>
      </x:c>
      <x:c r="L7" s="12" t="n">
        <x:f>'Weekly Projections'!BC4</x:f>
        <x:v>3</x:v>
      </x:c>
      <x:c r="M7" s="12" t="str">
        <x:f>'Weekly Projections'!BD4</x:f>
        <x:v>→</x:v>
      </x:c>
    </x:row>
    <x:row r="8">
      <x:c r="A8" s="14" t="n">
        <x:f>'Weekly Projections'!BB5</x:f>
        <x:v>4</x:v>
      </x:c>
      <x:c r="B8" s="12" t="str">
        <x:f>'Weekly Projections'!A5</x:f>
        <x:v>Jared Goff</x:v>
      </x:c>
      <x:c r="C8" s="12" t="str">
        <x:f>'Weekly Projections'!B5</x:f>
        <x:v>DET</x:v>
      </x:c>
      <x:c r="D8" s="12" t="str">
        <x:f>'Weekly Projections'!C5</x:f>
        <x:v>QB</x:v>
      </x:c>
      <x:c r="E8" s="12" t="str">
        <x:f>'Weekly Projections'!D5</x:f>
        <x:v>NYJ</x:v>
      </x:c>
      <x:c r="F8" s="13" t="n">
        <x:f>'Weekly Projections'!AW5</x:f>
        <x:v>18.75567106145252</x:v>
      </x:c>
      <x:c r="G8" s="13" t="n">
        <x:f>'Weekly Projections'!AX5</x:f>
        <x:v>12.753856321787715</x:v>
      </x:c>
      <x:c r="H8" s="13" t="n">
        <x:f>'Weekly Projections'!AY5</x:f>
        <x:v>24.75748580111733</x:v>
      </x:c>
      <x:c r="I8" s="12" t="str">
        <x:f>'Weekly Projections'!H5</x:f>
        <x:v>ACTIVE</x:v>
      </x:c>
      <x:c r="J8" s="12" t="str">
        <x:f>'Weekly Projections'!AZ5</x:f>
        <x:v>High</x:v>
      </x:c>
      <x:c r="K8" s="12" t="n">
        <x:f>'Weekly Projections'!BA5</x:f>
        <x:v>1</x:v>
      </x:c>
      <x:c r="L8" s="12" t="n">
        <x:f>'Weekly Projections'!BC5</x:f>
        <x:v>4</x:v>
      </x:c>
      <x:c r="M8" s="12" t="str">
        <x:f>'Weekly Projections'!BD5</x:f>
        <x:v>→</x:v>
      </x:c>
    </x:row>
    <x:row r="9">
      <x:c r="A9" s="14" t="n">
        <x:f>'Weekly Projections'!BB6</x:f>
        <x:v>5</x:v>
      </x:c>
      <x:c r="B9" s="12" t="str">
        <x:f>'Weekly Projections'!A6</x:f>
        <x:v>Patrick Mahomes II</x:v>
      </x:c>
      <x:c r="C9" s="12" t="str">
        <x:f>'Weekly Projections'!B6</x:f>
        <x:v>KC</x:v>
      </x:c>
      <x:c r="D9" s="12" t="str">
        <x:f>'Weekly Projections'!C6</x:f>
        <x:v>QB</x:v>
      </x:c>
      <x:c r="E9" s="12" t="str">
        <x:f>'Weekly Projections'!D6</x:f>
        <x:v>MIA</x:v>
      </x:c>
      <x:c r="F9" s="13" t="n">
        <x:f>'Weekly Projections'!AW6</x:f>
        <x:v>18.009706871508378</x:v>
      </x:c>
      <x:c r="G9" s="13" t="n">
        <x:f>'Weekly Projections'!AX6</x:f>
        <x:v>12.246600672625698</x:v>
      </x:c>
      <x:c r="H9" s="13" t="n">
        <x:f>'Weekly Projections'!AY6</x:f>
        <x:v>23.77281307039106</x:v>
      </x:c>
      <x:c r="I9" s="12" t="str">
        <x:f>'Weekly Projections'!H6</x:f>
        <x:v>ACTIVE</x:v>
      </x:c>
      <x:c r="J9" s="12" t="str">
        <x:f>'Weekly Projections'!AZ6</x:f>
        <x:v>High</x:v>
      </x:c>
      <x:c r="K9" s="12" t="n">
        <x:f>'Weekly Projections'!BA6</x:f>
        <x:v>1</x:v>
      </x:c>
      <x:c r="L9" s="12" t="n">
        <x:f>'Weekly Projections'!BC6</x:f>
        <x:v>5</x:v>
      </x:c>
      <x:c r="M9" s="12" t="str">
        <x:f>'Weekly Projections'!BD6</x:f>
        <x:v>→</x:v>
      </x:c>
    </x:row>
    <x:row r="10">
      <x:c r="A10" s="14" t="n">
        <x:f>'Weekly Projections'!BB7</x:f>
        <x:v>6</x:v>
      </x:c>
      <x:c r="B10" s="12" t="str">
        <x:f>'Weekly Projections'!A7</x:f>
        <x:v>Drake Maye</x:v>
      </x:c>
      <x:c r="C10" s="12" t="str">
        <x:f>'Weekly Projections'!B7</x:f>
        <x:v>NE</x:v>
      </x:c>
      <x:c r="D10" s="12" t="str">
        <x:f>'Weekly Projections'!C7</x:f>
        <x:v>QB</x:v>
      </x:c>
      <x:c r="E10" s="12" t="str">
        <x:f>'Weekly Projections'!D7</x:f>
        <x:v>JAX</x:v>
      </x:c>
      <x:c r="F10" s="13" t="n">
        <x:f>'Weekly Projections'!AW7</x:f>
        <x:v>17.89228</x:v>
      </x:c>
      <x:c r="G10" s="13" t="n">
        <x:f>'Weekly Projections'!AX7</x:f>
        <x:v>12.1667504</x:v>
      </x:c>
      <x:c r="H10" s="13" t="n">
        <x:f>'Weekly Projections'!AY7</x:f>
        <x:v>23.6178096</x:v>
      </x:c>
      <x:c r="I10" s="12" t="str">
        <x:f>'Weekly Projections'!H7</x:f>
        <x:v>ACTIVE</x:v>
      </x:c>
      <x:c r="J10" s="12" t="str">
        <x:f>'Weekly Projections'!AZ7</x:f>
        <x:v>High</x:v>
      </x:c>
      <x:c r="K10" s="12" t="n">
        <x:f>'Weekly Projections'!BA7</x:f>
        <x:v>1</x:v>
      </x:c>
      <x:c r="L10" s="12" t="n">
        <x:f>'Weekly Projections'!BC7</x:f>
        <x:v>6</x:v>
      </x:c>
      <x:c r="M10" s="12" t="str">
        <x:f>'Weekly Projections'!BD7</x:f>
        <x:v>→</x:v>
      </x:c>
    </x:row>
    <x:row r="11">
      <x:c r="A11" s="14" t="n">
        <x:f>'Weekly Projections'!BB8</x:f>
        <x:v>7</x:v>
      </x:c>
      <x:c r="B11" s="12" t="str">
        <x:f>'Weekly Projections'!A8</x:f>
        <x:v>Trevor Lawrence</x:v>
      </x:c>
      <x:c r="C11" s="12" t="str">
        <x:f>'Weekly Projections'!B8</x:f>
        <x:v>JAC</x:v>
      </x:c>
      <x:c r="D11" s="12" t="str">
        <x:f>'Weekly Projections'!C8</x:f>
        <x:v>QB</x:v>
      </x:c>
      <x:c r="E11" s="12" t="str">
        <x:f>'Weekly Projections'!D8</x:f>
        <x:v>NE</x:v>
      </x:c>
      <x:c r="F11" s="13" t="n">
        <x:f>'Weekly Projections'!AW8</x:f>
        <x:v>17.805921787709497</x:v>
      </x:c>
      <x:c r="G11" s="13" t="n">
        <x:f>'Weekly Projections'!AX8</x:f>
        <x:v>12.108026815642459</x:v>
      </x:c>
      <x:c r="H11" s="13" t="n">
        <x:f>'Weekly Projections'!AY8</x:f>
        <x:v>23.503816759776537</x:v>
      </x:c>
      <x:c r="I11" s="12" t="str">
        <x:f>'Weekly Projections'!H8</x:f>
        <x:v>ACTIVE</x:v>
      </x:c>
      <x:c r="J11" s="12" t="str">
        <x:f>'Weekly Projections'!AZ8</x:f>
        <x:v>High</x:v>
      </x:c>
      <x:c r="K11" s="12" t="n">
        <x:f>'Weekly Projections'!BA8</x:f>
        <x:v>2</x:v>
      </x:c>
      <x:c r="L11" s="12" t="n">
        <x:f>'Weekly Projections'!BC8</x:f>
        <x:v>7</x:v>
      </x:c>
      <x:c r="M11" s="12" t="str">
        <x:f>'Weekly Projections'!BD8</x:f>
        <x:v>→</x:v>
      </x:c>
    </x:row>
    <x:row r="12">
      <x:c r="A12" s="14" t="n">
        <x:f>'Weekly Projections'!BB9</x:f>
        <x:v>8</x:v>
      </x:c>
      <x:c r="B12" s="12" t="str">
        <x:f>'Weekly Projections'!A9</x:f>
        <x:v>Joe Burrow</x:v>
      </x:c>
      <x:c r="C12" s="12" t="str">
        <x:f>'Weekly Projections'!B9</x:f>
        <x:v>CIN</x:v>
      </x:c>
      <x:c r="D12" s="12" t="str">
        <x:f>'Weekly Projections'!C9</x:f>
        <x:v>QB</x:v>
      </x:c>
      <x:c r="E12" s="12" t="str">
        <x:f>'Weekly Projections'!D9</x:f>
        <x:v>PIT</x:v>
      </x:c>
      <x:c r="F12" s="13" t="n">
        <x:f>'Weekly Projections'!AW9</x:f>
        <x:v>17.606021229050278</x:v>
      </x:c>
      <x:c r="G12" s="13" t="n">
        <x:f>'Weekly Projections'!AX9</x:f>
        <x:v>11.97209443575419</x:v>
      </x:c>
      <x:c r="H12" s="13" t="n">
        <x:f>'Weekly Projections'!AY9</x:f>
        <x:v>23.23994802234637</x:v>
      </x:c>
      <x:c r="I12" s="12" t="str">
        <x:f>'Weekly Projections'!H9</x:f>
        <x:v>ACTIVE</x:v>
      </x:c>
      <x:c r="J12" s="12" t="str">
        <x:f>'Weekly Projections'!AZ9</x:f>
        <x:v>High</x:v>
      </x:c>
      <x:c r="K12" s="12" t="n">
        <x:f>'Weekly Projections'!BA9</x:f>
        <x:v>2</x:v>
      </x:c>
      <x:c r="L12" s="12" t="n">
        <x:f>'Weekly Projections'!BC9</x:f>
        <x:v>8</x:v>
      </x:c>
      <x:c r="M12" s="12" t="str">
        <x:f>'Weekly Projections'!BD9</x:f>
        <x:v>→</x:v>
      </x:c>
    </x:row>
    <x:row r="13">
      <x:c r="A13" s="14" t="n">
        <x:f>'Weekly Projections'!BB10</x:f>
        <x:v>9</x:v>
      </x:c>
      <x:c r="B13" s="12" t="str">
        <x:f>'Weekly Projections'!A10</x:f>
        <x:v>Brock Purdy</x:v>
      </x:c>
      <x:c r="C13" s="12" t="str">
        <x:f>'Weekly Projections'!B10</x:f>
        <x:v>SF</x:v>
      </x:c>
      <x:c r="D13" s="12" t="str">
        <x:f>'Weekly Projections'!C10</x:f>
        <x:v>QB</x:v>
      </x:c>
      <x:c r="E13" s="12" t="str">
        <x:f>'Weekly Projections'!D10</x:f>
        <x:v>ARI</x:v>
      </x:c>
      <x:c r="F13" s="13" t="n">
        <x:f>'Weekly Projections'!AW10</x:f>
        <x:v>17.468748603351962</x:v>
      </x:c>
      <x:c r="G13" s="13" t="n">
        <x:f>'Weekly Projections'!AX10</x:f>
        <x:v>11.878749050279335</x:v>
      </x:c>
      <x:c r="H13" s="13" t="n">
        <x:f>'Weekly Projections'!AY10</x:f>
        <x:v>23.058748156424592</x:v>
      </x:c>
      <x:c r="I13" s="12" t="str">
        <x:f>'Weekly Projections'!H10</x:f>
        <x:v>ACTIVE</x:v>
      </x:c>
      <x:c r="J13" s="12" t="str">
        <x:f>'Weekly Projections'!AZ10</x:f>
        <x:v>High</x:v>
      </x:c>
      <x:c r="K13" s="12" t="n">
        <x:f>'Weekly Projections'!BA10</x:f>
        <x:v>2</x:v>
      </x:c>
      <x:c r="L13" s="12" t="n">
        <x:f>'Weekly Projections'!BC10</x:f>
        <x:v>9</x:v>
      </x:c>
      <x:c r="M13" s="12" t="str">
        <x:f>'Weekly Projections'!BD10</x:f>
        <x:v>→</x:v>
      </x:c>
    </x:row>
    <x:row r="14">
      <x:c r="A14" s="14" t="n">
        <x:f>'Weekly Projections'!BB11</x:f>
        <x:v>10</x:v>
      </x:c>
      <x:c r="B14" s="12" t="str">
        <x:f>'Weekly Projections'!A11</x:f>
        <x:v>Jordan Love</x:v>
      </x:c>
      <x:c r="C14" s="12" t="str">
        <x:f>'Weekly Projections'!B11</x:f>
        <x:v>GB</x:v>
      </x:c>
      <x:c r="D14" s="12" t="str">
        <x:f>'Weekly Projections'!C11</x:f>
        <x:v>QB</x:v>
      </x:c>
      <x:c r="E14" s="12" t="str">
        <x:f>'Weekly Projections'!D11</x:f>
        <x:v>ATL</x:v>
      </x:c>
      <x:c r="F14" s="13" t="n">
        <x:f>'Weekly Projections'!AW11</x:f>
        <x:v>16.208792849162013</x:v>
      </x:c>
      <x:c r="G14" s="13" t="n">
        <x:f>'Weekly Projections'!AX11</x:f>
        <x:v>11.021979137430169</x:v>
      </x:c>
      <x:c r="H14" s="13" t="n">
        <x:f>'Weekly Projections'!AY11</x:f>
        <x:v>21.395606560893857</x:v>
      </x:c>
      <x:c r="I14" s="12" t="str">
        <x:f>'Weekly Projections'!H11</x:f>
        <x:v>ACTIVE</x:v>
      </x:c>
      <x:c r="J14" s="12" t="str">
        <x:f>'Weekly Projections'!AZ11</x:f>
        <x:v>Moderate</x:v>
      </x:c>
      <x:c r="K14" s="12" t="n">
        <x:f>'Weekly Projections'!BA11</x:f>
        <x:v>2</x:v>
      </x:c>
      <x:c r="L14" s="12" t="n">
        <x:f>'Weekly Projections'!BC11</x:f>
        <x:v>10</x:v>
      </x:c>
      <x:c r="M14" s="12" t="str">
        <x:f>'Weekly Projections'!BD11</x:f>
        <x:v>→</x:v>
      </x:c>
    </x:row>
    <x:row r="15">
      <x:c r="A15" s="14" t="n">
        <x:f>'Weekly Projections'!BB12</x:f>
        <x:v>11</x:v>
      </x:c>
      <x:c r="B15" s="12" t="str">
        <x:f>'Weekly Projections'!A12</x:f>
        <x:v>Dak Prescott</x:v>
      </x:c>
      <x:c r="C15" s="12" t="str">
        <x:f>'Weekly Projections'!B12</x:f>
        <x:v>DAL</x:v>
      </x:c>
      <x:c r="D15" s="12" t="str">
        <x:f>'Weekly Projections'!C12</x:f>
        <x:v>QB</x:v>
      </x:c>
      <x:c r="E15" s="12" t="str">
        <x:f>'Weekly Projections'!D12</x:f>
        <x:v>BAL</x:v>
      </x:c>
      <x:c r="F15" s="13" t="n">
        <x:f>'Weekly Projections'!AW12</x:f>
        <x:v>16.087284916201114</x:v>
      </x:c>
      <x:c r="G15" s="13" t="n">
        <x:f>'Weekly Projections'!AX12</x:f>
        <x:v>10.939353743016758</x:v>
      </x:c>
      <x:c r="H15" s="13" t="n">
        <x:f>'Weekly Projections'!AY12</x:f>
        <x:v>21.23521608938547</x:v>
      </x:c>
      <x:c r="I15" s="12" t="str">
        <x:f>'Weekly Projections'!H12</x:f>
        <x:v>ACTIVE</x:v>
      </x:c>
      <x:c r="J15" s="12" t="str">
        <x:f>'Weekly Projections'!AZ12</x:f>
        <x:v>High</x:v>
      </x:c>
      <x:c r="K15" s="12" t="n">
        <x:f>'Weekly Projections'!BA12</x:f>
        <x:v>2</x:v>
      </x:c>
      <x:c r="L15" s="12" t="n">
        <x:f>'Weekly Projections'!BC12</x:f>
        <x:v>11</x:v>
      </x:c>
      <x:c r="M15" s="12" t="str">
        <x:f>'Weekly Projections'!BD12</x:f>
        <x:v>→</x:v>
      </x:c>
    </x:row>
    <x:row r="16">
      <x:c r="A16" s="14" t="n">
        <x:f>'Weekly Projections'!BB14</x:f>
        <x:v>12</x:v>
      </x:c>
      <x:c r="B16" s="12" t="str">
        <x:f>'Weekly Projections'!A14</x:f>
        <x:v>Baker Mayfield</x:v>
      </x:c>
      <x:c r="C16" s="12" t="str">
        <x:f>'Weekly Projections'!B14</x:f>
        <x:v>TB</x:v>
      </x:c>
      <x:c r="D16" s="12" t="str">
        <x:f>'Weekly Projections'!C14</x:f>
        <x:v>QB</x:v>
      </x:c>
      <x:c r="E16" s="12" t="str">
        <x:f>'Weekly Projections'!D14</x:f>
        <x:v>MIN</x:v>
      </x:c>
      <x:c r="F16" s="13" t="n">
        <x:f>'Weekly Projections'!AW14</x:f>
        <x:v>16.021836201117317</x:v>
      </x:c>
      <x:c r="G16" s="13" t="n">
        <x:f>'Weekly Projections'!AX14</x:f>
        <x:v>10.894848616759777</x:v>
      </x:c>
      <x:c r="H16" s="13" t="n">
        <x:f>'Weekly Projections'!AY14</x:f>
        <x:v>21.14882378547486</x:v>
      </x:c>
      <x:c r="I16" s="12" t="str">
        <x:f>'Weekly Projections'!H14</x:f>
        <x:v>ACTIVE</x:v>
      </x:c>
      <x:c r="J16" s="12" t="str">
        <x:f>'Weekly Projections'!AZ14</x:f>
        <x:v>High</x:v>
      </x:c>
      <x:c r="K16" s="12" t="n">
        <x:f>'Weekly Projections'!BA14</x:f>
        <x:v>3</x:v>
      </x:c>
      <x:c r="L16" s="12" t="n">
        <x:f>'Weekly Projections'!BC14</x:f>
        <x:v>13</x:v>
      </x:c>
      <x:c r="M16" s="12" t="str">
        <x:f>'Weekly Projections'!BD14</x:f>
        <x:v>↑</x:v>
      </x:c>
    </x:row>
    <x:row r="17">
      <x:c r="A17" s="14" t="n">
        <x:f>'Weekly Projections'!BB15</x:f>
        <x:v>13</x:v>
      </x:c>
      <x:c r="B17" s="12" t="str">
        <x:f>'Weekly Projections'!A15</x:f>
        <x:v>Kyler Murray</x:v>
      </x:c>
      <x:c r="C17" s="12" t="str">
        <x:f>'Weekly Projections'!B15</x:f>
        <x:v>MIN</x:v>
      </x:c>
      <x:c r="D17" s="12" t="str">
        <x:f>'Weekly Projections'!C15</x:f>
        <x:v>QB</x:v>
      </x:c>
      <x:c r="E17" s="12" t="str">
        <x:f>'Weekly Projections'!D15</x:f>
        <x:v>TB</x:v>
      </x:c>
      <x:c r="F17" s="13" t="n">
        <x:f>'Weekly Projections'!AW15</x:f>
        <x:v>15.898285642458104</x:v>
      </x:c>
      <x:c r="G17" s="13" t="n">
        <x:f>'Weekly Projections'!AX15</x:f>
        <x:v>10.81083423687151</x:v>
      </x:c>
      <x:c r="H17" s="13" t="n">
        <x:f>'Weekly Projections'!AY15</x:f>
        <x:v>20.985737048044697</x:v>
      </x:c>
      <x:c r="I17" s="12" t="str">
        <x:f>'Weekly Projections'!H15</x:f>
        <x:v>ACTIVE</x:v>
      </x:c>
      <x:c r="J17" s="12" t="str">
        <x:f>'Weekly Projections'!AZ15</x:f>
        <x:v>High</x:v>
      </x:c>
      <x:c r="K17" s="12" t="n">
        <x:f>'Weekly Projections'!BA15</x:f>
        <x:v>3</x:v>
      </x:c>
      <x:c r="L17" s="12" t="n">
        <x:f>'Weekly Projections'!BC15</x:f>
        <x:v>14</x:v>
      </x:c>
      <x:c r="M17" s="12" t="str">
        <x:f>'Weekly Projections'!BD15</x:f>
        <x:v>↑</x:v>
      </x:c>
    </x:row>
    <x:row r="18">
      <x:c r="A18" s="14" t="n">
        <x:f>'Weekly Projections'!BB16</x:f>
        <x:v>14</x:v>
      </x:c>
      <x:c r="B18" s="12" t="str">
        <x:f>'Weekly Projections'!A16</x:f>
        <x:v>Justin Herbert</x:v>
      </x:c>
      <x:c r="C18" s="12" t="str">
        <x:f>'Weekly Projections'!B16</x:f>
        <x:v>LAC</x:v>
      </x:c>
      <x:c r="D18" s="12" t="str">
        <x:f>'Weekly Projections'!C16</x:f>
        <x:v>QB</x:v>
      </x:c>
      <x:c r="E18" s="12" t="str">
        <x:f>'Weekly Projections'!D16</x:f>
        <x:v>BUF</x:v>
      </x:c>
      <x:c r="F18" s="13" t="n">
        <x:f>'Weekly Projections'!AW16</x:f>
        <x:v>15.765724245810057</x:v>
      </x:c>
      <x:c r="G18" s="13" t="n">
        <x:f>'Weekly Projections'!AX16</x:f>
        <x:v>10.72069248715084</x:v>
      </x:c>
      <x:c r="H18" s="13" t="n">
        <x:f>'Weekly Projections'!AY16</x:f>
        <x:v>20.810756004469276</x:v>
      </x:c>
      <x:c r="I18" s="12" t="str">
        <x:f>'Weekly Projections'!H16</x:f>
        <x:v>ACTIVE</x:v>
      </x:c>
      <x:c r="J18" s="12" t="str">
        <x:f>'Weekly Projections'!AZ16</x:f>
        <x:v>High</x:v>
      </x:c>
      <x:c r="K18" s="12" t="n">
        <x:f>'Weekly Projections'!BA16</x:f>
        <x:v>3</x:v>
      </x:c>
      <x:c r="L18" s="12" t="n">
        <x:f>'Weekly Projections'!BC16</x:f>
        <x:v>15</x:v>
      </x:c>
      <x:c r="M18" s="12" t="str">
        <x:f>'Weekly Projections'!BD16</x:f>
        <x:v>↑</x:v>
      </x:c>
    </x:row>
    <x:row r="19">
      <x:c r="A19" s="14" t="n">
        <x:f>'Weekly Projections'!BB17</x:f>
        <x:v>15</x:v>
      </x:c>
      <x:c r="B19" s="12" t="str">
        <x:f>'Weekly Projections'!A17</x:f>
        <x:v>Bo Nix</x:v>
      </x:c>
      <x:c r="C19" s="12" t="str">
        <x:f>'Weekly Projections'!B17</x:f>
        <x:v>DEN</x:v>
      </x:c>
      <x:c r="D19" s="12" t="str">
        <x:f>'Weekly Projections'!C17</x:f>
        <x:v>QB</x:v>
      </x:c>
      <x:c r="E19" s="12" t="str">
        <x:f>'Weekly Projections'!D17</x:f>
        <x:v>LAR</x:v>
      </x:c>
      <x:c r="F19" s="13" t="n">
        <x:f>'Weekly Projections'!AW17</x:f>
        <x:v>15.459284916201119</x:v>
      </x:c>
      <x:c r="G19" s="13" t="n">
        <x:f>'Weekly Projections'!AX17</x:f>
        <x:v>10.512313743016762</x:v>
      </x:c>
      <x:c r="H19" s="13" t="n">
        <x:f>'Weekly Projections'!AY17</x:f>
        <x:v>20.40625608938548</x:v>
      </x:c>
      <x:c r="I19" s="12" t="str">
        <x:f>'Weekly Projections'!H17</x:f>
        <x:v>ACTIVE</x:v>
      </x:c>
      <x:c r="J19" s="12" t="str">
        <x:f>'Weekly Projections'!AZ17</x:f>
        <x:v>High</x:v>
      </x:c>
      <x:c r="K19" s="12" t="n">
        <x:f>'Weekly Projections'!BA17</x:f>
        <x:v>3</x:v>
      </x:c>
      <x:c r="L19" s="12" t="n">
        <x:f>'Weekly Projections'!BC17</x:f>
        <x:v>16</x:v>
      </x:c>
      <x:c r="M19" s="12" t="str">
        <x:f>'Weekly Projections'!BD17</x:f>
        <x:v>↑</x:v>
      </x:c>
    </x:row>
    <x:row r="20">
      <x:c r="A20" s="14" t="n">
        <x:f>'Weekly Projections'!BB18</x:f>
        <x:v>16</x:v>
      </x:c>
      <x:c r="B20" s="12" t="str">
        <x:f>'Weekly Projections'!A18</x:f>
        <x:v>Tyler Shough</x:v>
      </x:c>
      <x:c r="C20" s="12" t="str">
        <x:f>'Weekly Projections'!B18</x:f>
        <x:v>NO</x:v>
      </x:c>
      <x:c r="D20" s="12" t="str">
        <x:f>'Weekly Projections'!C18</x:f>
        <x:v>QB</x:v>
      </x:c>
      <x:c r="E20" s="12" t="str">
        <x:f>'Weekly Projections'!D18</x:f>
        <x:v>LV</x:v>
      </x:c>
      <x:c r="F20" s="13" t="n">
        <x:f>'Weekly Projections'!AW18</x:f>
        <x:v>15.431798882681566</x:v>
      </x:c>
      <x:c r="G20" s="13" t="n">
        <x:f>'Weekly Projections'!AX18</x:f>
        <x:v>10.493623240223465</x:v>
      </x:c>
      <x:c r="H20" s="13" t="n">
        <x:f>'Weekly Projections'!AY18</x:f>
        <x:v>20.369974525139668</x:v>
      </x:c>
      <x:c r="I20" s="12" t="str">
        <x:f>'Weekly Projections'!H18</x:f>
        <x:v>ACTIVE</x:v>
      </x:c>
      <x:c r="J20" s="12" t="str">
        <x:f>'Weekly Projections'!AZ18</x:f>
        <x:v>High</x:v>
      </x:c>
      <x:c r="K20" s="12" t="n">
        <x:f>'Weekly Projections'!BA18</x:f>
        <x:v>3</x:v>
      </x:c>
      <x:c r="L20" s="12" t="n">
        <x:f>'Weekly Projections'!BC18</x:f>
        <x:v>17</x:v>
      </x:c>
      <x:c r="M20" s="12" t="str">
        <x:f>'Weekly Projections'!BD18</x:f>
        <x:v>↑</x:v>
      </x:c>
    </x:row>
    <x:row r="21">
      <x:c r="A21" s="14" t="n">
        <x:f>'Weekly Projections'!BB19</x:f>
        <x:v>17</x:v>
      </x:c>
      <x:c r="B21" s="12" t="str">
        <x:f>'Weekly Projections'!A19</x:f>
        <x:v>Matthew Stafford</x:v>
      </x:c>
      <x:c r="C21" s="12" t="str">
        <x:f>'Weekly Projections'!B19</x:f>
        <x:v>LAR</x:v>
      </x:c>
      <x:c r="D21" s="12" t="str">
        <x:f>'Weekly Projections'!C19</x:f>
        <x:v>QB</x:v>
      </x:c>
      <x:c r="E21" s="12" t="str">
        <x:f>'Weekly Projections'!D19</x:f>
        <x:v>DEN</x:v>
      </x:c>
      <x:c r="F21" s="13" t="n">
        <x:f>'Weekly Projections'!AW19</x:f>
        <x:v>15.190376983240228</x:v>
      </x:c>
      <x:c r="G21" s="13" t="n">
        <x:f>'Weekly Projections'!AX19</x:f>
        <x:v>10.329456348603355</x:v>
      </x:c>
      <x:c r="H21" s="13" t="n">
        <x:f>'Weekly Projections'!AY19</x:f>
        <x:v>20.0512976178771</x:v>
      </x:c>
      <x:c r="I21" s="12" t="str">
        <x:f>'Weekly Projections'!H19</x:f>
        <x:v>ACTIVE</x:v>
      </x:c>
      <x:c r="J21" s="12" t="str">
        <x:f>'Weekly Projections'!AZ19</x:f>
        <x:v>High</x:v>
      </x:c>
      <x:c r="K21" s="12" t="n">
        <x:f>'Weekly Projections'!BA19</x:f>
        <x:v>3</x:v>
      </x:c>
      <x:c r="L21" s="12" t="n">
        <x:f>'Weekly Projections'!BC19</x:f>
        <x:v>18</x:v>
      </x:c>
      <x:c r="M21" s="12" t="str">
        <x:f>'Weekly Projections'!BD19</x:f>
        <x:v>↑</x:v>
      </x:c>
    </x:row>
    <x:row r="22">
      <x:c r="A22" s="14" t="n">
        <x:f>'Weekly Projections'!BB20</x:f>
        <x:v>18</x:v>
      </x:c>
      <x:c r="B22" s="12" t="str">
        <x:f>'Weekly Projections'!A20</x:f>
        <x:v>C.J. Stroud</x:v>
      </x:c>
      <x:c r="C22" s="12" t="str">
        <x:f>'Weekly Projections'!B20</x:f>
        <x:v>HOU</x:v>
      </x:c>
      <x:c r="D22" s="12" t="str">
        <x:f>'Weekly Projections'!C20</x:f>
        <x:v>QB</x:v>
      </x:c>
      <x:c r="E22" s="12" t="str">
        <x:f>'Weekly Projections'!D20</x:f>
        <x:v>IND</x:v>
      </x:c>
      <x:c r="F22" s="13" t="n">
        <x:f>'Weekly Projections'!AW20</x:f>
        <x:v>15.012239497206707</x:v>
      </x:c>
      <x:c r="G22" s="13" t="n">
        <x:f>'Weekly Projections'!AX20</x:f>
        <x:v>10.208322858100562</x:v>
      </x:c>
      <x:c r="H22" s="13" t="n">
        <x:f>'Weekly Projections'!AY20</x:f>
        <x:v>19.816156136312856</x:v>
      </x:c>
      <x:c r="I22" s="12" t="str">
        <x:f>'Weekly Projections'!H20</x:f>
        <x:v>ACTIVE</x:v>
      </x:c>
      <x:c r="J22" s="12" t="str">
        <x:f>'Weekly Projections'!AZ20</x:f>
        <x:v>High</x:v>
      </x:c>
      <x:c r="K22" s="12" t="n">
        <x:f>'Weekly Projections'!BA20</x:f>
        <x:v>4</x:v>
      </x:c>
      <x:c r="L22" s="12" t="n">
        <x:f>'Weekly Projections'!BC20</x:f>
        <x:v>19</x:v>
      </x:c>
      <x:c r="M22" s="12" t="str">
        <x:f>'Weekly Projections'!BD20</x:f>
        <x:v>↑</x:v>
      </x:c>
    </x:row>
    <x:row r="23">
      <x:c r="A23" s="14" t="n">
        <x:f>'Weekly Projections'!BB21</x:f>
        <x:v>19</x:v>
      </x:c>
      <x:c r="B23" s="12" t="str">
        <x:f>'Weekly Projections'!A21</x:f>
        <x:v>Michael Penix Jr.</x:v>
      </x:c>
      <x:c r="C23" s="12" t="str">
        <x:f>'Weekly Projections'!B21</x:f>
        <x:v>ATL</x:v>
      </x:c>
      <x:c r="D23" s="12" t="str">
        <x:f>'Weekly Projections'!C21</x:f>
        <x:v>QB</x:v>
      </x:c>
      <x:c r="E23" s="12" t="str">
        <x:f>'Weekly Projections'!D21</x:f>
        <x:v>GB</x:v>
      </x:c>
      <x:c r="F23" s="13" t="n">
        <x:f>'Weekly Projections'!AW21</x:f>
        <x:v>14.593700898324023</x:v>
      </x:c>
      <x:c r="G23" s="13" t="n">
        <x:f>'Weekly Projections'!AX21</x:f>
        <x:v>9.923716610860337</x:v>
      </x:c>
      <x:c r="H23" s="13" t="n">
        <x:f>'Weekly Projections'!AY21</x:f>
        <x:v>19.26368518578771</x:v>
      </x:c>
      <x:c r="I23" s="12" t="str">
        <x:f>'Weekly Projections'!H21</x:f>
        <x:v>ACTIVE</x:v>
      </x:c>
      <x:c r="J23" s="12" t="str">
        <x:f>'Weekly Projections'!AZ21</x:f>
        <x:v>High</x:v>
      </x:c>
      <x:c r="K23" s="12" t="n">
        <x:f>'Weekly Projections'!BA21</x:f>
        <x:v>4</x:v>
      </x:c>
      <x:c r="L23" s="12" t="n">
        <x:f>'Weekly Projections'!BC21</x:f>
        <x:v>20</x:v>
      </x:c>
      <x:c r="M23" s="12" t="str">
        <x:f>'Weekly Projections'!BD21</x:f>
        <x:v>↑</x:v>
      </x:c>
    </x:row>
    <x:row r="24">
      <x:c r="A24" s="14" t="n">
        <x:f>'Weekly Projections'!BB22</x:f>
        <x:v>20</x:v>
      </x:c>
      <x:c r="B24" s="12" t="str">
        <x:f>'Weekly Projections'!A22</x:f>
        <x:v>Geno Smith</x:v>
      </x:c>
      <x:c r="C24" s="12" t="str">
        <x:f>'Weekly Projections'!B22</x:f>
        <x:v>NYJ</x:v>
      </x:c>
      <x:c r="D24" s="12" t="str">
        <x:f>'Weekly Projections'!C22</x:f>
        <x:v>QB</x:v>
      </x:c>
      <x:c r="E24" s="12" t="str">
        <x:f>'Weekly Projections'!D22</x:f>
        <x:v>DET</x:v>
      </x:c>
      <x:c r="F24" s="13" t="n">
        <x:f>'Weekly Projections'!AW22</x:f>
        <x:v>14.33473340782123</x:v>
      </x:c>
      <x:c r="G24" s="13" t="n">
        <x:f>'Weekly Projections'!AX22</x:f>
        <x:v>9.747618717318437</x:v>
      </x:c>
      <x:c r="H24" s="13" t="n">
        <x:f>'Weekly Projections'!AY22</x:f>
        <x:v>18.921848098324023</x:v>
      </x:c>
      <x:c r="I24" s="12" t="str">
        <x:f>'Weekly Projections'!H22</x:f>
        <x:v>ACTIVE</x:v>
      </x:c>
      <x:c r="J24" s="12" t="str">
        <x:f>'Weekly Projections'!AZ22</x:f>
        <x:v>High</x:v>
      </x:c>
      <x:c r="K24" s="12" t="n">
        <x:f>'Weekly Projections'!BA22</x:f>
        <x:v>4</x:v>
      </x:c>
      <x:c r="L24" s="12" t="n">
        <x:f>'Weekly Projections'!BC22</x:f>
        <x:v>21</x:v>
      </x:c>
      <x:c r="M24" s="12" t="str">
        <x:f>'Weekly Projections'!BD22</x:f>
        <x:v>↑</x:v>
      </x:c>
    </x:row>
    <x:row r="25">
      <x:c r="A25" s="14" t="n">
        <x:f>'Weekly Projections'!BB23</x:f>
        <x:v>21</x:v>
      </x:c>
      <x:c r="B25" s="12" t="str">
        <x:f>'Weekly Projections'!A23</x:f>
        <x:v>Cam Ward</x:v>
      </x:c>
      <x:c r="C25" s="12" t="str">
        <x:f>'Weekly Projections'!B23</x:f>
        <x:v>TEN</x:v>
      </x:c>
      <x:c r="D25" s="12" t="str">
        <x:f>'Weekly Projections'!C23</x:f>
        <x:v>QB</x:v>
      </x:c>
      <x:c r="E25" s="12" t="str">
        <x:f>'Weekly Projections'!D23</x:f>
        <x:v>NYG</x:v>
      </x:c>
      <x:c r="F25" s="13" t="n">
        <x:f>'Weekly Projections'!AW23</x:f>
        <x:v>14.324898324022351</x:v>
      </x:c>
      <x:c r="G25" s="13" t="n">
        <x:f>'Weekly Projections'!AX23</x:f>
        <x:v>9.7409308603352</x:v>
      </x:c>
      <x:c r="H25" s="13" t="n">
        <x:f>'Weekly Projections'!AY23</x:f>
        <x:v>18.908865787709505</x:v>
      </x:c>
      <x:c r="I25" s="12" t="str">
        <x:f>'Weekly Projections'!H23</x:f>
        <x:v>ACTIVE</x:v>
      </x:c>
      <x:c r="J25" s="12" t="str">
        <x:f>'Weekly Projections'!AZ23</x:f>
        <x:v>High</x:v>
      </x:c>
      <x:c r="K25" s="12" t="n">
        <x:f>'Weekly Projections'!BA23</x:f>
        <x:v>4</x:v>
      </x:c>
      <x:c r="L25" s="12" t="n">
        <x:f>'Weekly Projections'!BC23</x:f>
        <x:v>22</x:v>
      </x:c>
      <x:c r="M25" s="12" t="str">
        <x:f>'Weekly Projections'!BD23</x:f>
        <x:v>↑</x:v>
      </x:c>
    </x:row>
    <x:row r="26">
      <x:c r="A26" s="14" t="n">
        <x:f>'Weekly Projections'!BB24</x:f>
        <x:v>22</x:v>
      </x:c>
      <x:c r="B26" s="12" t="str">
        <x:f>'Weekly Projections'!A24</x:f>
        <x:v>Marcus Mariota</x:v>
      </x:c>
      <x:c r="C26" s="12" t="str">
        <x:f>'Weekly Projections'!B24</x:f>
        <x:v>WAS</x:v>
      </x:c>
      <x:c r="D26" s="12" t="str">
        <x:f>'Weekly Projections'!C24</x:f>
        <x:v>QB</x:v>
      </x:c>
      <x:c r="E26" s="12" t="str">
        <x:f>'Weekly Projections'!D24</x:f>
        <x:v>SEA</x:v>
      </x:c>
      <x:c r="F26" s="13" t="n">
        <x:f>'Weekly Projections'!AW24</x:f>
        <x:v>14.322146726256985</x:v>
      </x:c>
      <x:c r="G26" s="13" t="n">
        <x:f>'Weekly Projections'!AX24</x:f>
        <x:v>9.73905977385475</x:v>
      </x:c>
      <x:c r="H26" s="13" t="n">
        <x:f>'Weekly Projections'!AY24</x:f>
        <x:v>18.905233678659222</x:v>
      </x:c>
      <x:c r="I26" s="12" t="str">
        <x:f>'Weekly Projections'!H24</x:f>
        <x:v>ACTIVE</x:v>
      </x:c>
      <x:c r="J26" s="12" t="str">
        <x:f>'Weekly Projections'!AZ24</x:f>
        <x:v>High</x:v>
      </x:c>
      <x:c r="K26" s="12" t="n">
        <x:f>'Weekly Projections'!BA24</x:f>
        <x:v>4</x:v>
      </x:c>
      <x:c r="L26" s="12" t="n">
        <x:f>'Weekly Projections'!BC24</x:f>
        <x:v>23</x:v>
      </x:c>
      <x:c r="M26" s="12" t="str">
        <x:f>'Weekly Projections'!BD24</x:f>
        <x:v>↑</x:v>
      </x:c>
    </x:row>
    <x:row r="27">
      <x:c r="A27" s="14" t="n">
        <x:f>'Weekly Projections'!BB25</x:f>
        <x:v>23</x:v>
      </x:c>
      <x:c r="B27" s="12" t="str">
        <x:f>'Weekly Projections'!A25</x:f>
        <x:v>Malik Willis</x:v>
      </x:c>
      <x:c r="C27" s="12" t="str">
        <x:f>'Weekly Projections'!B25</x:f>
        <x:v>MIA</x:v>
      </x:c>
      <x:c r="D27" s="12" t="str">
        <x:f>'Weekly Projections'!C25</x:f>
        <x:v>QB</x:v>
      </x:c>
      <x:c r="E27" s="12" t="str">
        <x:f>'Weekly Projections'!D25</x:f>
        <x:v>KC</x:v>
      </x:c>
      <x:c r="F27" s="13" t="n">
        <x:f>'Weekly Projections'!AW25</x:f>
        <x:v>14.279621229050282</x:v>
      </x:c>
      <x:c r="G27" s="13" t="n">
        <x:f>'Weekly Projections'!AX25</x:f>
        <x:v>9.710142435754193</x:v>
      </x:c>
      <x:c r="H27" s="13" t="n">
        <x:f>'Weekly Projections'!AY25</x:f>
        <x:v>18.849100022346374</x:v>
      </x:c>
      <x:c r="I27" s="12" t="str">
        <x:f>'Weekly Projections'!H25</x:f>
        <x:v>ACTIVE</x:v>
      </x:c>
      <x:c r="J27" s="12" t="str">
        <x:f>'Weekly Projections'!AZ25</x:f>
        <x:v>High</x:v>
      </x:c>
      <x:c r="K27" s="12" t="n">
        <x:f>'Weekly Projections'!BA25</x:f>
        <x:v>4</x:v>
      </x:c>
      <x:c r="L27" s="12" t="n">
        <x:f>'Weekly Projections'!BC25</x:f>
        <x:v>24</x:v>
      </x:c>
      <x:c r="M27" s="12" t="str">
        <x:f>'Weekly Projections'!BD25</x:f>
        <x:v>↑</x:v>
      </x:c>
    </x:row>
    <x:row r="28">
      <x:c r="A28" s="14" t="n">
        <x:f>'Weekly Projections'!BB26</x:f>
        <x:v>24</x:v>
      </x:c>
      <x:c r="B28" s="12" t="str">
        <x:f>'Weekly Projections'!A26</x:f>
        <x:v>Bryce Young</x:v>
      </x:c>
      <x:c r="C28" s="12" t="str">
        <x:f>'Weekly Projections'!B26</x:f>
        <x:v>CAR</x:v>
      </x:c>
      <x:c r="D28" s="12" t="str">
        <x:f>'Weekly Projections'!C26</x:f>
        <x:v>QB</x:v>
      </x:c>
      <x:c r="E28" s="12" t="str">
        <x:f>'Weekly Projections'!D26</x:f>
        <x:v>CLE</x:v>
      </x:c>
      <x:c r="F28" s="13" t="n">
        <x:f>'Weekly Projections'!AW26</x:f>
        <x:v>14.254291620111731</x:v>
      </x:c>
      <x:c r="G28" s="13" t="n">
        <x:f>'Weekly Projections'!AX26</x:f>
        <x:v>9.692918301675977</x:v>
      </x:c>
      <x:c r="H28" s="13" t="n">
        <x:f>'Weekly Projections'!AY26</x:f>
        <x:v>18.815664938547485</x:v>
      </x:c>
      <x:c r="I28" s="12" t="str">
        <x:f>'Weekly Projections'!H26</x:f>
        <x:v>ACTIVE</x:v>
      </x:c>
      <x:c r="J28" s="12" t="str">
        <x:f>'Weekly Projections'!AZ26</x:f>
        <x:v>High</x:v>
      </x:c>
      <x:c r="K28" s="12" t="n">
        <x:f>'Weekly Projections'!BA26</x:f>
        <x:v>5</x:v>
      </x:c>
      <x:c r="L28" s="12" t="n">
        <x:f>'Weekly Projections'!BC26</x:f>
        <x:v>25</x:v>
      </x:c>
      <x:c r="M28" s="12" t="str">
        <x:f>'Weekly Projections'!BD26</x:f>
        <x:v>↑</x:v>
      </x:c>
    </x:row>
    <x:row r="29">
      <x:c r="A29" s="14" t="n">
        <x:f>'Weekly Projections'!BB27</x:f>
        <x:v>25</x:v>
      </x:c>
      <x:c r="B29" s="12" t="str">
        <x:f>'Weekly Projections'!A27</x:f>
        <x:v>Jacoby Brissett</x:v>
      </x:c>
      <x:c r="C29" s="12" t="str">
        <x:f>'Weekly Projections'!B27</x:f>
        <x:v>ARI</x:v>
      </x:c>
      <x:c r="D29" s="12" t="str">
        <x:f>'Weekly Projections'!C27</x:f>
        <x:v>QB</x:v>
      </x:c>
      <x:c r="E29" s="12" t="str">
        <x:f>'Weekly Projections'!D27</x:f>
        <x:v>SF</x:v>
      </x:c>
      <x:c r="F29" s="13" t="n">
        <x:f>'Weekly Projections'!AW27</x:f>
        <x:v>13.374893854748606</x:v>
      </x:c>
      <x:c r="G29" s="13" t="n">
        <x:f>'Weekly Projections'!AX27</x:f>
        <x:v>9.094927821229053</x:v>
      </x:c>
      <x:c r="H29" s="13" t="n">
        <x:f>'Weekly Projections'!AY27</x:f>
        <x:v>17.65485988826816</x:v>
      </x:c>
      <x:c r="I29" s="12" t="str">
        <x:f>'Weekly Projections'!H27</x:f>
        <x:v>ACTIVE</x:v>
      </x:c>
      <x:c r="J29" s="12" t="str">
        <x:f>'Weekly Projections'!AZ27</x:f>
        <x:v>High</x:v>
      </x:c>
      <x:c r="K29" s="12" t="n">
        <x:f>'Weekly Projections'!BA27</x:f>
        <x:v>5</x:v>
      </x:c>
      <x:c r="L29" s="12" t="n">
        <x:f>'Weekly Projections'!BC27</x:f>
        <x:v>26</x:v>
      </x:c>
      <x:c r="M29" s="12" t="str">
        <x:f>'Weekly Projections'!BD27</x:f>
        <x:v>↑</x:v>
      </x:c>
    </x:row>
    <x:row r="30">
      <x:c r="A30" s="14" t="n">
        <x:f>'Weekly Projections'!BB28</x:f>
        <x:v>26</x:v>
      </x:c>
      <x:c r="B30" s="12" t="str">
        <x:f>'Weekly Projections'!A28</x:f>
        <x:v>Aaron Rodgers</x:v>
      </x:c>
      <x:c r="C30" s="12" t="str">
        <x:f>'Weekly Projections'!B28</x:f>
        <x:v>PIT</x:v>
      </x:c>
      <x:c r="D30" s="12" t="str">
        <x:f>'Weekly Projections'!C28</x:f>
        <x:v>QB</x:v>
      </x:c>
      <x:c r="E30" s="12" t="str">
        <x:f>'Weekly Projections'!D28</x:f>
        <x:v>CIN</x:v>
      </x:c>
      <x:c r="F30" s="13" t="n">
        <x:f>'Weekly Projections'!AW28</x:f>
        <x:v>13.255519553072627</x:v>
      </x:c>
      <x:c r="G30" s="13" t="n">
        <x:f>'Weekly Projections'!AX28</x:f>
        <x:v>9.013753296089387</x:v>
      </x:c>
      <x:c r="H30" s="13" t="n">
        <x:f>'Weekly Projections'!AY28</x:f>
        <x:v>17.497285810055867</x:v>
      </x:c>
      <x:c r="I30" s="12" t="str">
        <x:f>'Weekly Projections'!H28</x:f>
        <x:v>ACTIVE</x:v>
      </x:c>
      <x:c r="J30" s="12" t="str">
        <x:f>'Weekly Projections'!AZ28</x:f>
        <x:v>High</x:v>
      </x:c>
      <x:c r="K30" s="12" t="n">
        <x:f>'Weekly Projections'!BA28</x:f>
        <x:v>5</x:v>
      </x:c>
      <x:c r="L30" s="12" t="n">
        <x:f>'Weekly Projections'!BC28</x:f>
        <x:v>27</x:v>
      </x:c>
      <x:c r="M30" s="12" t="str">
        <x:f>'Weekly Projections'!BD28</x:f>
        <x:v>↑</x:v>
      </x:c>
    </x:row>
    <x:row r="31">
      <x:c r="A31" s="14" t="n">
        <x:f>'Weekly Projections'!BB29</x:f>
        <x:v>27</x:v>
      </x:c>
      <x:c r="B31" s="12" t="str">
        <x:f>'Weekly Projections'!A29</x:f>
        <x:v>Deshaun Watson</x:v>
      </x:c>
      <x:c r="C31" s="12" t="str">
        <x:f>'Weekly Projections'!B29</x:f>
        <x:v>CLE</x:v>
      </x:c>
      <x:c r="D31" s="12" t="str">
        <x:f>'Weekly Projections'!C29</x:f>
        <x:v>QB</x:v>
      </x:c>
      <x:c r="E31" s="12" t="str">
        <x:f>'Weekly Projections'!D29</x:f>
        <x:v>CAR</x:v>
      </x:c>
      <x:c r="F31" s="13" t="n">
        <x:f>'Weekly Projections'!AW29</x:f>
        <x:v>12.820501005586593</x:v>
      </x:c>
      <x:c r="G31" s="13" t="n">
        <x:f>'Weekly Projections'!AX29</x:f>
        <x:v>8.717940683798883</x:v>
      </x:c>
      <x:c r="H31" s="13" t="n">
        <x:f>'Weekly Projections'!AY29</x:f>
        <x:v>16.923061327374302</x:v>
      </x:c>
      <x:c r="I31" s="12" t="str">
        <x:f>'Weekly Projections'!H29</x:f>
        <x:v>ACTIVE</x:v>
      </x:c>
      <x:c r="J31" s="12" t="str">
        <x:f>'Weekly Projections'!AZ29</x:f>
        <x:v>High</x:v>
      </x:c>
      <x:c r="K31" s="12" t="n">
        <x:f>'Weekly Projections'!BA29</x:f>
        <x:v>5</x:v>
      </x:c>
      <x:c r="L31" s="12" t="n">
        <x:f>'Weekly Projections'!BC29</x:f>
        <x:v>28</x:v>
      </x:c>
      <x:c r="M31" s="12" t="str">
        <x:f>'Weekly Projections'!BD29</x:f>
        <x:v>↑</x:v>
      </x:c>
    </x:row>
    <x:row r="32">
      <x:c r="A32" s="14" t="n">
        <x:f>'Weekly Projections'!BB30</x:f>
        <x:v>28</x:v>
      </x:c>
      <x:c r="B32" s="12" t="str">
        <x:f>'Weekly Projections'!A30</x:f>
        <x:v>Kirk Cousins</x:v>
      </x:c>
      <x:c r="C32" s="12" t="str">
        <x:f>'Weekly Projections'!B30</x:f>
        <x:v>LV</x:v>
      </x:c>
      <x:c r="D32" s="12" t="str">
        <x:f>'Weekly Projections'!C30</x:f>
        <x:v>QB</x:v>
      </x:c>
      <x:c r="E32" s="12" t="str">
        <x:f>'Weekly Projections'!D30</x:f>
        <x:v>NO</x:v>
      </x:c>
      <x:c r="F32" s="13" t="n">
        <x:f>'Weekly Projections'!AW30</x:f>
        <x:v>12.594565810055869</x:v>
      </x:c>
      <x:c r="G32" s="13" t="n">
        <x:f>'Weekly Projections'!AX30</x:f>
        <x:v>8.56430475083799</x:v>
      </x:c>
      <x:c r="H32" s="13" t="n">
        <x:f>'Weekly Projections'!AY30</x:f>
        <x:v>16.624826869273747</x:v>
      </x:c>
      <x:c r="I32" s="12" t="str">
        <x:f>'Weekly Projections'!H30</x:f>
        <x:v>ACTIVE</x:v>
      </x:c>
      <x:c r="J32" s="12" t="str">
        <x:f>'Weekly Projections'!AZ30</x:f>
        <x:v>High</x:v>
      </x:c>
      <x:c r="K32" s="12" t="n">
        <x:f>'Weekly Projections'!BA30</x:f>
        <x:v>5</x:v>
      </x:c>
      <x:c r="L32" s="12" t="n">
        <x:f>'Weekly Projections'!BC30</x:f>
        <x:v>29</x:v>
      </x:c>
      <x:c r="M32" s="12" t="str">
        <x:f>'Weekly Projections'!BD30</x:f>
        <x:v>↑</x:v>
      </x:c>
    </x:row>
    <x:row r="33">
      <x:c r="A33" s="14" t="n">
        <x:f>'Weekly Projections'!BB13</x:f>
        <x:v>29</x:v>
      </x:c>
      <x:c r="B33" s="12" t="str">
        <x:f>'Weekly Projections'!A13</x:f>
        <x:v>Jameis Winston</x:v>
      </x:c>
      <x:c r="C33" s="12" t="str">
        <x:f>'Weekly Projections'!B13</x:f>
        <x:v>NYG</x:v>
      </x:c>
      <x:c r="D33" s="12" t="str">
        <x:f>'Weekly Projections'!C13</x:f>
        <x:v>QB</x:v>
      </x:c>
      <x:c r="E33" s="12" t="str">
        <x:f>'Weekly Projections'!D13</x:f>
        <x:v>TEN</x:v>
      </x:c>
      <x:c r="F33" s="13" t="n">
        <x:f>'Weekly Projections'!AW13</x:f>
        <x:v>11.96</x:v>
      </x:c>
      <x:c r="G33" s="13" t="n">
        <x:f>'Weekly Projections'!AX13</x:f>
        <x:v>8.132800000000001</x:v>
      </x:c>
      <x:c r="H33" s="13" t="n">
        <x:f>'Weekly Projections'!AY13</x:f>
        <x:v>15.787200000000002</x:v>
      </x:c>
      <x:c r="I33" s="12" t="str">
        <x:f>'Weekly Projections'!H13</x:f>
        <x:v>ACTIVE</x:v>
      </x:c>
      <x:c r="J33" s="12" t="str">
        <x:f>'Weekly Projections'!AZ13</x:f>
        <x:v>Low</x:v>
      </x:c>
      <x:c r="K33" s="12" t="n">
        <x:f>'Weekly Projections'!BA13</x:f>
        <x:v>2</x:v>
      </x:c>
      <x:c r="L33" s="12" t="n">
        <x:f>'Weekly Projections'!BC13</x:f>
        <x:v>12</x:v>
      </x:c>
      <x:c r="M33" s="12" t="str">
        <x:f>'Weekly Projections'!BD13</x:f>
        <x:v>↓</x:v>
      </x:c>
    </x:row>
    <x:row r="34">
      <x:c r="A34" s="14" t="n">
        <x:f>'Weekly Projections'!BB31</x:f>
        <x:v>30</x:v>
      </x:c>
      <x:c r="B34" s="12" t="str">
        <x:f>'Weekly Projections'!A31</x:f>
        <x:v>Daniel Jones</x:v>
      </x:c>
      <x:c r="C34" s="12" t="str">
        <x:f>'Weekly Projections'!B31</x:f>
        <x:v>IND</x:v>
      </x:c>
      <x:c r="D34" s="12" t="str">
        <x:f>'Weekly Projections'!C31</x:f>
        <x:v>QB</x:v>
      </x:c>
      <x:c r="E34" s="12" t="str">
        <x:f>'Weekly Projections'!D31</x:f>
        <x:v>HOU</x:v>
      </x:c>
      <x:c r="F34" s="13" t="n">
        <x:f>'Weekly Projections'!AW31</x:f>
        <x:v>11.163854748603352</x:v>
      </x:c>
      <x:c r="G34" s="13" t="n">
        <x:f>'Weekly Projections'!AX31</x:f>
        <x:v>7.5914212290502805</x:v>
      </x:c>
      <x:c r="H34" s="13" t="n">
        <x:f>'Weekly Projections'!AY31</x:f>
        <x:v>14.736288268156425</x:v>
      </x:c>
      <x:c r="I34" s="12" t="str">
        <x:f>'Weekly Projections'!H31</x:f>
        <x:v>ACTIVE</x:v>
      </x:c>
      <x:c r="J34" s="12" t="str">
        <x:f>'Weekly Projections'!AZ31</x:f>
        <x:v>High</x:v>
      </x:c>
      <x:c r="K34" s="12" t="n">
        <x:f>'Weekly Projections'!BA31</x:f>
        <x:v>5</x:v>
      </x:c>
      <x:c r="L34" s="12" t="n">
        <x:f>'Weekly Projections'!BC31</x:f>
        <x:v>30</x:v>
      </x:c>
      <x:c r="M34" s="12" t="str">
        <x:f>'Weekly Projections'!BD31</x:f>
        <x:v>→</x:v>
      </x:c>
    </x:row>
    <x:row r="35">
      <x:c r="A35" s="14" t="n">
        <x:f>'Weekly Projections'!BB32</x:f>
        <x:v>31</x:v>
      </x:c>
      <x:c r="B35" s="12" t="str">
        <x:f>'Weekly Projections'!A32</x:f>
        <x:v>Sam Darnold</x:v>
      </x:c>
      <x:c r="C35" s="12" t="str">
        <x:f>'Weekly Projections'!B32</x:f>
        <x:v>SEA</x:v>
      </x:c>
      <x:c r="D35" s="12" t="str">
        <x:f>'Weekly Projections'!C32</x:f>
        <x:v>QB</x:v>
      </x:c>
      <x:c r="E35" s="12" t="str">
        <x:f>'Weekly Projections'!D32</x:f>
        <x:v>WAS</x:v>
      </x:c>
      <x:c r="F35" s="13" t="n">
        <x:f>'Weekly Projections'!AW32</x:f>
        <x:v>11.15189255865922</x:v>
      </x:c>
      <x:c r="G35" s="13" t="n">
        <x:f>'Weekly Projections'!AX32</x:f>
        <x:v>7.5832869398882705</x:v>
      </x:c>
      <x:c r="H35" s="13" t="n">
        <x:f>'Weekly Projections'!AY32</x:f>
        <x:v>14.720498177430171</x:v>
      </x:c>
      <x:c r="I35" s="12" t="str">
        <x:f>'Weekly Projections'!H32</x:f>
        <x:v>QUESTIONABLE</x:v>
      </x:c>
      <x:c r="J35" s="12" t="str">
        <x:f>'Weekly Projections'!AZ32</x:f>
        <x:v>Moderate</x:v>
      </x:c>
      <x:c r="K35" s="12" t="n">
        <x:f>'Weekly Projections'!BA32</x:f>
        <x:v>6</x:v>
      </x:c>
      <x:c r="L35" s="12" t="n">
        <x:f>'Weekly Projections'!BC32</x:f>
        <x:v>31</x:v>
      </x:c>
      <x:c r="M35" s="12" t="str">
        <x:f>'Weekly Projections'!BD32</x:f>
        <x:v>→</x:v>
      </x:c>
    </x:row>
    <x:row r="36">
      <x:c r="A36" s="14" t="n">
        <x:f>'Weekly Projections'!BB33</x:f>
        <x:v>32</x:v>
      </x:c>
      <x:c r="B36" s="12" t="str">
        <x:f>'Weekly Projections'!A33</x:f>
        <x:v>Caleb Williams</x:v>
      </x:c>
      <x:c r="C36" s="12" t="str">
        <x:f>'Weekly Projections'!B33</x:f>
        <x:v>CHI</x:v>
      </x:c>
      <x:c r="D36" s="12" t="str">
        <x:f>'Weekly Projections'!C33</x:f>
        <x:v>QB</x:v>
      </x:c>
      <x:c r="E36" s="12" t="str">
        <x:f>'Weekly Projections'!D33</x:f>
        <x:v>PHI</x:v>
      </x:c>
      <x:c r="F36" s="13" t="n">
        <x:f>'Weekly Projections'!AW33</x:f>
        <x:v>9.131891006927374</x:v>
      </x:c>
      <x:c r="G36" s="13" t="n">
        <x:f>'Weekly Projections'!AX33</x:f>
        <x:v>6.2096858847106144</x:v>
      </x:c>
      <x:c r="H36" s="13" t="n">
        <x:f>'Weekly Projections'!AY33</x:f>
        <x:v>12.054096129144133</x:v>
      </x:c>
      <x:c r="I36" s="12" t="str">
        <x:f>'Weekly Projections'!H33</x:f>
        <x:v>QUESTIONABLE</x:v>
      </x:c>
      <x:c r="J36" s="12" t="str">
        <x:f>'Weekly Projections'!AZ33</x:f>
        <x:v>Low</x:v>
      </x:c>
      <x:c r="K36" s="12" t="n">
        <x:f>'Weekly Projections'!BA33</x:f>
        <x:v>6</x:v>
      </x:c>
      <x:c r="L36" s="12" t="n">
        <x:f>'Weekly Projections'!BC33</x:f>
        <x:v>32</x:v>
      </x:c>
      <x:c r="M36" s="12" t="str">
        <x:f>'Weekly Projections'!BD33</x:f>
        <x:v>→</x:v>
      </x:c>
    </x:row>
    <x:row r="37">
      <x:c r="A37" s="14" t="n">
        <x:f>'Weekly Projections'!BB34</x:f>
        <x:v>33</x:v>
      </x:c>
      <x:c r="B37" s="12" t="str">
        <x:f>'Weekly Projections'!A34</x:f>
        <x:v>Case Keenum</x:v>
      </x:c>
      <x:c r="C37" s="12" t="str">
        <x:f>'Weekly Projections'!B34</x:f>
        <x:v>CHI</x:v>
      </x:c>
      <x:c r="D37" s="12" t="str">
        <x:f>'Weekly Projections'!C34</x:f>
        <x:v>QB</x:v>
      </x:c>
      <x:c r="E37" s="12" t="str">
        <x:f>'Weekly Projections'!D34</x:f>
        <x:v>PHI</x:v>
      </x:c>
      <x:c r="F37" s="13" t="n">
        <x:f>'Weekly Projections'!AW34</x:f>
        <x:v>4.847687999999999</x:v>
      </x:c>
      <x:c r="G37" s="13" t="n">
        <x:f>'Weekly Projections'!AX34</x:f>
        <x:v>3.2964278399999993</x:v>
      </x:c>
      <x:c r="H37" s="13" t="n">
        <x:f>'Weekly Projections'!AY34</x:f>
        <x:v>6.398948159999999</x:v>
      </x:c>
      <x:c r="I37" s="12" t="str">
        <x:f>'Weekly Projections'!H34</x:f>
        <x:v>QUESTIONABLE</x:v>
      </x:c>
      <x:c r="J37" s="12" t="str">
        <x:f>'Weekly Projections'!AZ34</x:f>
        <x:v>Low</x:v>
      </x:c>
      <x:c r="K37" s="12" t="n">
        <x:f>'Weekly Projections'!BA34</x:f>
        <x:v>6</x:v>
      </x:c>
      <x:c r="L37" s="12" t="n">
        <x:f>'Weekly Projections'!BC34</x:f>
        <x:v>33</x:v>
      </x:c>
      <x:c r="M37" s="12" t="str">
        <x:f>'Weekly Projections'!BD34</x:f>
        <x:v>→</x:v>
      </x:c>
    </x:row>
    <x:row r="38">
      <x:c r="A38" s="14" t="n">
        <x:f>'Weekly Projections'!BB37</x:f>
        <x:v>1</x:v>
      </x:c>
      <x:c r="B38" s="12" t="str">
        <x:f>'Weekly Projections'!A37</x:f>
        <x:v>Jahmyr Gibbs</x:v>
      </x:c>
      <x:c r="C38" s="12" t="str">
        <x:f>'Weekly Projections'!B37</x:f>
        <x:v>DET</x:v>
      </x:c>
      <x:c r="D38" s="12" t="str">
        <x:f>'Weekly Projections'!C37</x:f>
        <x:v>RB</x:v>
      </x:c>
      <x:c r="E38" s="12" t="str">
        <x:f>'Weekly Projections'!D37</x:f>
        <x:v>NYJ</x:v>
      </x:c>
      <x:c r="F38" s="13" t="n">
        <x:f>'Weekly Projections'!AW37</x:f>
        <x:v>20.199947368421057</x:v>
      </x:c>
      <x:c r="G38" s="13" t="n">
        <x:f>'Weekly Projections'!AX37</x:f>
        <x:v>11.715969473684213</x:v>
      </x:c>
      <x:c r="H38" s="13" t="n">
        <x:f>'Weekly Projections'!AY37</x:f>
        <x:v>29.28992368421053</x:v>
      </x:c>
      <x:c r="I38" s="12" t="str">
        <x:f>'Weekly Projections'!H37</x:f>
        <x:v>ACTIVE</x:v>
      </x:c>
      <x:c r="J38" s="12" t="str">
        <x:f>'Weekly Projections'!AZ37</x:f>
        <x:v>High</x:v>
      </x:c>
      <x:c r="K38" s="12" t="n">
        <x:f>'Weekly Projections'!BA37</x:f>
        <x:v>1</x:v>
      </x:c>
      <x:c r="L38" s="12" t="n">
        <x:f>'Weekly Projections'!BC37</x:f>
        <x:v>1</x:v>
      </x:c>
      <x:c r="M38" s="12" t="str">
        <x:f>'Weekly Projections'!BD37</x:f>
        <x:v>→</x:v>
      </x:c>
    </x:row>
    <x:row r="39">
      <x:c r="A39" s="14" t="n">
        <x:f>'Weekly Projections'!BB38</x:f>
        <x:v>2</x:v>
      </x:c>
      <x:c r="B39" s="12" t="str">
        <x:f>'Weekly Projections'!A38</x:f>
        <x:v>Bijan Robinson</x:v>
      </x:c>
      <x:c r="C39" s="12" t="str">
        <x:f>'Weekly Projections'!B38</x:f>
        <x:v>ATL</x:v>
      </x:c>
      <x:c r="D39" s="12" t="str">
        <x:f>'Weekly Projections'!C38</x:f>
        <x:v>RB</x:v>
      </x:c>
      <x:c r="E39" s="12" t="str">
        <x:f>'Weekly Projections'!D38</x:f>
        <x:v>GB</x:v>
      </x:c>
      <x:c r="F39" s="13" t="n">
        <x:f>'Weekly Projections'!AW38</x:f>
        <x:v>18.18931821862348</x:v>
      </x:c>
      <x:c r="G39" s="13" t="n">
        <x:f>'Weekly Projections'!AX38</x:f>
        <x:v>10.549804566801617</x:v>
      </x:c>
      <x:c r="H39" s="13" t="n">
        <x:f>'Weekly Projections'!AY38</x:f>
        <x:v>26.374511417004047</x:v>
      </x:c>
      <x:c r="I39" s="12" t="str">
        <x:f>'Weekly Projections'!H38</x:f>
        <x:v>ACTIVE</x:v>
      </x:c>
      <x:c r="J39" s="12" t="str">
        <x:f>'Weekly Projections'!AZ38</x:f>
        <x:v>High</x:v>
      </x:c>
      <x:c r="K39" s="12" t="n">
        <x:f>'Weekly Projections'!BA38</x:f>
        <x:v>1</x:v>
      </x:c>
      <x:c r="L39" s="12" t="n">
        <x:f>'Weekly Projections'!BC38</x:f>
        <x:v>2</x:v>
      </x:c>
      <x:c r="M39" s="12" t="str">
        <x:f>'Weekly Projections'!BD38</x:f>
        <x:v>→</x:v>
      </x:c>
    </x:row>
    <x:row r="40">
      <x:c r="A40" s="14" t="n">
        <x:f>'Weekly Projections'!BB39</x:f>
        <x:v>3</x:v>
      </x:c>
      <x:c r="B40" s="12" t="str">
        <x:f>'Weekly Projections'!A39</x:f>
        <x:v>Kenneth Walker III</x:v>
      </x:c>
      <x:c r="C40" s="12" t="str">
        <x:f>'Weekly Projections'!B39</x:f>
        <x:v>KC</x:v>
      </x:c>
      <x:c r="D40" s="12" t="str">
        <x:f>'Weekly Projections'!C39</x:f>
        <x:v>RB</x:v>
      </x:c>
      <x:c r="E40" s="12" t="str">
        <x:f>'Weekly Projections'!D39</x:f>
        <x:v>MIA</x:v>
      </x:c>
      <x:c r="F40" s="13" t="n">
        <x:f>'Weekly Projections'!AW39</x:f>
        <x:v>17.440038866396762</x:v>
      </x:c>
      <x:c r="G40" s="13" t="n">
        <x:f>'Weekly Projections'!AX39</x:f>
        <x:v>10.115222542510121</x:v>
      </x:c>
      <x:c r="H40" s="13" t="n">
        <x:f>'Weekly Projections'!AY39</x:f>
        <x:v>25.288056356275305</x:v>
      </x:c>
      <x:c r="I40" s="12" t="str">
        <x:f>'Weekly Projections'!H39</x:f>
        <x:v>ACTIVE</x:v>
      </x:c>
      <x:c r="J40" s="12" t="str">
        <x:f>'Weekly Projections'!AZ39</x:f>
        <x:v>High</x:v>
      </x:c>
      <x:c r="K40" s="12" t="n">
        <x:f>'Weekly Projections'!BA39</x:f>
        <x:v>1</x:v>
      </x:c>
      <x:c r="L40" s="12" t="n">
        <x:f>'Weekly Projections'!BC39</x:f>
        <x:v>3</x:v>
      </x:c>
      <x:c r="M40" s="12" t="str">
        <x:f>'Weekly Projections'!BD39</x:f>
        <x:v>→</x:v>
      </x:c>
    </x:row>
    <x:row r="41">
      <x:c r="A41" s="14" t="n">
        <x:f>'Weekly Projections'!BB40</x:f>
        <x:v>4</x:v>
      </x:c>
      <x:c r="B41" s="12" t="str">
        <x:f>'Weekly Projections'!A40</x:f>
        <x:v>Christian McCaffrey</x:v>
      </x:c>
      <x:c r="C41" s="12" t="str">
        <x:f>'Weekly Projections'!B40</x:f>
        <x:v>SF</x:v>
      </x:c>
      <x:c r="D41" s="12" t="str">
        <x:f>'Weekly Projections'!C40</x:f>
        <x:v>RB</x:v>
      </x:c>
      <x:c r="E41" s="12" t="str">
        <x:f>'Weekly Projections'!D40</x:f>
        <x:v>ARI</x:v>
      </x:c>
      <x:c r="F41" s="13" t="n">
        <x:f>'Weekly Projections'!AW40</x:f>
        <x:v>17.201052631578946</x:v>
      </x:c>
      <x:c r="G41" s="13" t="n">
        <x:f>'Weekly Projections'!AX40</x:f>
        <x:v>9.976610526315788</x:v>
      </x:c>
      <x:c r="H41" s="13" t="n">
        <x:f>'Weekly Projections'!AY40</x:f>
        <x:v>24.94152631578947</x:v>
      </x:c>
      <x:c r="I41" s="12" t="str">
        <x:f>'Weekly Projections'!H40</x:f>
        <x:v>ACTIVE</x:v>
      </x:c>
      <x:c r="J41" s="12" t="str">
        <x:f>'Weekly Projections'!AZ40</x:f>
        <x:v>High</x:v>
      </x:c>
      <x:c r="K41" s="12" t="n">
        <x:f>'Weekly Projections'!BA40</x:f>
        <x:v>1</x:v>
      </x:c>
      <x:c r="L41" s="12" t="n">
        <x:f>'Weekly Projections'!BC40</x:f>
        <x:v>4</x:v>
      </x:c>
      <x:c r="M41" s="12" t="str">
        <x:f>'Weekly Projections'!BD40</x:f>
        <x:v>→</x:v>
      </x:c>
    </x:row>
    <x:row r="42">
      <x:c r="A42" s="14" t="n">
        <x:f>'Weekly Projections'!BB41</x:f>
        <x:v>5</x:v>
      </x:c>
      <x:c r="B42" s="12" t="str">
        <x:f>'Weekly Projections'!A41</x:f>
        <x:v>Jonathan Taylor</x:v>
      </x:c>
      <x:c r="C42" s="12" t="str">
        <x:f>'Weekly Projections'!B41</x:f>
        <x:v>IND</x:v>
      </x:c>
      <x:c r="D42" s="12" t="str">
        <x:f>'Weekly Projections'!C41</x:f>
        <x:v>RB</x:v>
      </x:c>
      <x:c r="E42" s="12" t="str">
        <x:f>'Weekly Projections'!D41</x:f>
        <x:v>HOU</x:v>
      </x:c>
      <x:c r="F42" s="13" t="n">
        <x:f>'Weekly Projections'!AW41</x:f>
        <x:v>16.201457489878546</x:v>
      </x:c>
      <x:c r="G42" s="13" t="n">
        <x:f>'Weekly Projections'!AX41</x:f>
        <x:v>9.396845344129556</x:v>
      </x:c>
      <x:c r="H42" s="13" t="n">
        <x:f>'Weekly Projections'!AY41</x:f>
        <x:v>23.49211336032389</x:v>
      </x:c>
      <x:c r="I42" s="12" t="str">
        <x:f>'Weekly Projections'!H41</x:f>
        <x:v>ACTIVE</x:v>
      </x:c>
      <x:c r="J42" s="12" t="str">
        <x:f>'Weekly Projections'!AZ41</x:f>
        <x:v>High</x:v>
      </x:c>
      <x:c r="K42" s="12" t="n">
        <x:f>'Weekly Projections'!BA41</x:f>
        <x:v>1</x:v>
      </x:c>
      <x:c r="L42" s="12" t="n">
        <x:f>'Weekly Projections'!BC41</x:f>
        <x:v>5</x:v>
      </x:c>
      <x:c r="M42" s="12" t="str">
        <x:f>'Weekly Projections'!BD41</x:f>
        <x:v>→</x:v>
      </x:c>
    </x:row>
    <x:row r="43">
      <x:c r="A43" s="14" t="n">
        <x:f>'Weekly Projections'!BB42</x:f>
        <x:v>6</x:v>
      </x:c>
      <x:c r="B43" s="12" t="str">
        <x:f>'Weekly Projections'!A42</x:f>
        <x:v>Derrick Henry</x:v>
      </x:c>
      <x:c r="C43" s="12" t="str">
        <x:f>'Weekly Projections'!B42</x:f>
        <x:v>BAL</x:v>
      </x:c>
      <x:c r="D43" s="12" t="str">
        <x:f>'Weekly Projections'!C42</x:f>
        <x:v>RB</x:v>
      </x:c>
      <x:c r="E43" s="12" t="str">
        <x:f>'Weekly Projections'!D42</x:f>
        <x:v>DAL</x:v>
      </x:c>
      <x:c r="F43" s="13" t="n">
        <x:f>'Weekly Projections'!AW42</x:f>
        <x:v>16.19747044534413</x:v>
      </x:c>
      <x:c r="G43" s="13" t="n">
        <x:f>'Weekly Projections'!AX42</x:f>
        <x:v>9.394532858299595</x:v>
      </x:c>
      <x:c r="H43" s="13" t="n">
        <x:f>'Weekly Projections'!AY42</x:f>
        <x:v>23.48633214574899</x:v>
      </x:c>
      <x:c r="I43" s="12" t="str">
        <x:f>'Weekly Projections'!H42</x:f>
        <x:v>ACTIVE</x:v>
      </x:c>
      <x:c r="J43" s="12" t="str">
        <x:f>'Weekly Projections'!AZ42</x:f>
        <x:v>High</x:v>
      </x:c>
      <x:c r="K43" s="12" t="n">
        <x:f>'Weekly Projections'!BA42</x:f>
        <x:v>1</x:v>
      </x:c>
      <x:c r="L43" s="12" t="n">
        <x:f>'Weekly Projections'!BC42</x:f>
        <x:v>6</x:v>
      </x:c>
      <x:c r="M43" s="12" t="str">
        <x:f>'Weekly Projections'!BD42</x:f>
        <x:v>→</x:v>
      </x:c>
    </x:row>
    <x:row r="44">
      <x:c r="A44" s="14" t="n">
        <x:f>'Weekly Projections'!BB43</x:f>
        <x:v>7</x:v>
      </x:c>
      <x:c r="B44" s="12" t="str">
        <x:f>'Weekly Projections'!A43</x:f>
        <x:v>James Cook</x:v>
      </x:c>
      <x:c r="C44" s="12" t="str">
        <x:f>'Weekly Projections'!B43</x:f>
        <x:v>BUF</x:v>
      </x:c>
      <x:c r="D44" s="12" t="str">
        <x:f>'Weekly Projections'!C43</x:f>
        <x:v>RB</x:v>
      </x:c>
      <x:c r="E44" s="12" t="str">
        <x:f>'Weekly Projections'!D43</x:f>
        <x:v>LAC</x:v>
      </x:c>
      <x:c r="F44" s="13" t="n">
        <x:f>'Weekly Projections'!AW43</x:f>
        <x:v>15.534412955465593</x:v>
      </x:c>
      <x:c r="G44" s="13" t="n">
        <x:f>'Weekly Projections'!AX43</x:f>
        <x:v>9.009959514170044</x:v>
      </x:c>
      <x:c r="H44" s="13" t="n">
        <x:f>'Weekly Projections'!AY43</x:f>
        <x:v>22.52489878542511</x:v>
      </x:c>
      <x:c r="I44" s="12" t="str">
        <x:f>'Weekly Projections'!H43</x:f>
        <x:v>ACTIVE</x:v>
      </x:c>
      <x:c r="J44" s="12" t="str">
        <x:f>'Weekly Projections'!AZ43</x:f>
        <x:v>High</x:v>
      </x:c>
      <x:c r="K44" s="12" t="n">
        <x:f>'Weekly Projections'!BA43</x:f>
        <x:v>1</x:v>
      </x:c>
      <x:c r="L44" s="12" t="n">
        <x:f>'Weekly Projections'!BC43</x:f>
        <x:v>7</x:v>
      </x:c>
      <x:c r="M44" s="12" t="str">
        <x:f>'Weekly Projections'!BD43</x:f>
        <x:v>→</x:v>
      </x:c>
    </x:row>
    <x:row r="45">
      <x:c r="A45" s="14" t="n">
        <x:f>'Weekly Projections'!BB44</x:f>
        <x:v>8</x:v>
      </x:c>
      <x:c r="B45" s="12" t="str">
        <x:f>'Weekly Projections'!A44</x:f>
        <x:v>Ashton Jeanty</x:v>
      </x:c>
      <x:c r="C45" s="12" t="str">
        <x:f>'Weekly Projections'!B44</x:f>
        <x:v>LV</x:v>
      </x:c>
      <x:c r="D45" s="12" t="str">
        <x:f>'Weekly Projections'!C44</x:f>
        <x:v>RB</x:v>
      </x:c>
      <x:c r="E45" s="12" t="str">
        <x:f>'Weekly Projections'!D44</x:f>
        <x:v>NO</x:v>
      </x:c>
      <x:c r="F45" s="13" t="n">
        <x:f>'Weekly Projections'!AW44</x:f>
        <x:v>15.428098785425103</x:v>
      </x:c>
      <x:c r="G45" s="13" t="n">
        <x:f>'Weekly Projections'!AX44</x:f>
        <x:v>8.94829729554656</x:v>
      </x:c>
      <x:c r="H45" s="13" t="n">
        <x:f>'Weekly Projections'!AY44</x:f>
        <x:v>22.3707432388664</x:v>
      </x:c>
      <x:c r="I45" s="12" t="str">
        <x:f>'Weekly Projections'!H44</x:f>
        <x:v>ACTIVE</x:v>
      </x:c>
      <x:c r="J45" s="12" t="str">
        <x:f>'Weekly Projections'!AZ44</x:f>
        <x:v>High</x:v>
      </x:c>
      <x:c r="K45" s="12" t="n">
        <x:f>'Weekly Projections'!BA44</x:f>
        <x:v>1</x:v>
      </x:c>
      <x:c r="L45" s="12" t="n">
        <x:f>'Weekly Projections'!BC44</x:f>
        <x:v>8</x:v>
      </x:c>
      <x:c r="M45" s="12" t="str">
        <x:f>'Weekly Projections'!BD44</x:f>
        <x:v>→</x:v>
      </x:c>
    </x:row>
    <x:row r="46">
      <x:c r="A46" s="14" t="n">
        <x:f>'Weekly Projections'!BB45</x:f>
        <x:v>9</x:v>
      </x:c>
      <x:c r="B46" s="12" t="str">
        <x:f>'Weekly Projections'!A45</x:f>
        <x:v>Saquon Barkley</x:v>
      </x:c>
      <x:c r="C46" s="12" t="str">
        <x:f>'Weekly Projections'!B45</x:f>
        <x:v>PHI</x:v>
      </x:c>
      <x:c r="D46" s="12" t="str">
        <x:f>'Weekly Projections'!C45</x:f>
        <x:v>RB</x:v>
      </x:c>
      <x:c r="E46" s="12" t="str">
        <x:f>'Weekly Projections'!D45</x:f>
        <x:v>CHI</x:v>
      </x:c>
      <x:c r="F46" s="13" t="n">
        <x:f>'Weekly Projections'!AW45</x:f>
        <x:v>14.526456680161944</x:v>
      </x:c>
      <x:c r="G46" s="13" t="n">
        <x:f>'Weekly Projections'!AX45</x:f>
        <x:v>8.425344874493927</x:v>
      </x:c>
      <x:c r="H46" s="13" t="n">
        <x:f>'Weekly Projections'!AY45</x:f>
        <x:v>21.06336218623482</x:v>
      </x:c>
      <x:c r="I46" s="12" t="str">
        <x:f>'Weekly Projections'!H45</x:f>
        <x:v>ACTIVE</x:v>
      </x:c>
      <x:c r="J46" s="12" t="str">
        <x:f>'Weekly Projections'!AZ45</x:f>
        <x:v>High</x:v>
      </x:c>
      <x:c r="K46" s="12" t="n">
        <x:f>'Weekly Projections'!BA45</x:f>
        <x:v>1</x:v>
      </x:c>
      <x:c r="L46" s="12" t="n">
        <x:f>'Weekly Projections'!BC45</x:f>
        <x:v>9</x:v>
      </x:c>
      <x:c r="M46" s="12" t="str">
        <x:f>'Weekly Projections'!BD45</x:f>
        <x:v>→</x:v>
      </x:c>
    </x:row>
    <x:row r="47">
      <x:c r="A47" s="14" t="n">
        <x:f>'Weekly Projections'!BB46</x:f>
        <x:v>10</x:v>
      </x:c>
      <x:c r="B47" s="12" t="str">
        <x:f>'Weekly Projections'!A46</x:f>
        <x:v>Chase Brown</x:v>
      </x:c>
      <x:c r="C47" s="12" t="str">
        <x:f>'Weekly Projections'!B46</x:f>
        <x:v>CIN</x:v>
      </x:c>
      <x:c r="D47" s="12" t="str">
        <x:f>'Weekly Projections'!C46</x:f>
        <x:v>RB</x:v>
      </x:c>
      <x:c r="E47" s="12" t="str">
        <x:f>'Weekly Projections'!D46</x:f>
        <x:v>PIT</x:v>
      </x:c>
      <x:c r="F47" s="13" t="n">
        <x:f>'Weekly Projections'!AW46</x:f>
        <x:v>13.377352226720651</x:v>
      </x:c>
      <x:c r="G47" s="13" t="n">
        <x:f>'Weekly Projections'!AX46</x:f>
        <x:v>7.758864291497977</x:v>
      </x:c>
      <x:c r="H47" s="13" t="n">
        <x:f>'Weekly Projections'!AY46</x:f>
        <x:v>19.397160728744943</x:v>
      </x:c>
      <x:c r="I47" s="12" t="str">
        <x:f>'Weekly Projections'!H46</x:f>
        <x:v>ACTIVE</x:v>
      </x:c>
      <x:c r="J47" s="12" t="str">
        <x:f>'Weekly Projections'!AZ46</x:f>
        <x:v>High</x:v>
      </x:c>
      <x:c r="K47" s="12" t="n">
        <x:f>'Weekly Projections'!BA46</x:f>
        <x:v>1</x:v>
      </x:c>
      <x:c r="L47" s="12" t="n">
        <x:f>'Weekly Projections'!BC46</x:f>
        <x:v>10</x:v>
      </x:c>
      <x:c r="M47" s="12" t="str">
        <x:f>'Weekly Projections'!BD46</x:f>
        <x:v>→</x:v>
      </x:c>
    </x:row>
    <x:row r="48">
      <x:c r="A48" s="14" t="n">
        <x:f>'Weekly Projections'!BB47</x:f>
        <x:v>11</x:v>
      </x:c>
      <x:c r="B48" s="12" t="str">
        <x:f>'Weekly Projections'!A47</x:f>
        <x:v>Javonte Williams</x:v>
      </x:c>
      <x:c r="C48" s="12" t="str">
        <x:f>'Weekly Projections'!B47</x:f>
        <x:v>DAL</x:v>
      </x:c>
      <x:c r="D48" s="12" t="str">
        <x:f>'Weekly Projections'!C47</x:f>
        <x:v>RB</x:v>
      </x:c>
      <x:c r="E48" s="12" t="str">
        <x:f>'Weekly Projections'!D47</x:f>
        <x:v>BAL</x:v>
      </x:c>
      <x:c r="F48" s="13" t="n">
        <x:f>'Weekly Projections'!AW47</x:f>
        <x:v>13.062510121457493</x:v>
      </x:c>
      <x:c r="G48" s="13" t="n">
        <x:f>'Weekly Projections'!AX47</x:f>
        <x:v>7.576255870445345</x:v>
      </x:c>
      <x:c r="H48" s="13" t="n">
        <x:f>'Weekly Projections'!AY47</x:f>
        <x:v>18.940639676113364</x:v>
      </x:c>
      <x:c r="I48" s="12" t="str">
        <x:f>'Weekly Projections'!H47</x:f>
        <x:v>ACTIVE</x:v>
      </x:c>
      <x:c r="J48" s="12" t="str">
        <x:f>'Weekly Projections'!AZ47</x:f>
        <x:v>High</x:v>
      </x:c>
      <x:c r="K48" s="12" t="n">
        <x:f>'Weekly Projections'!BA47</x:f>
        <x:v>2</x:v>
      </x:c>
      <x:c r="L48" s="12" t="n">
        <x:f>'Weekly Projections'!BC47</x:f>
        <x:v>11</x:v>
      </x:c>
      <x:c r="M48" s="12" t="str">
        <x:f>'Weekly Projections'!BD47</x:f>
        <x:v>→</x:v>
      </x:c>
    </x:row>
    <x:row r="49">
      <x:c r="A49" s="14" t="n">
        <x:f>'Weekly Projections'!BB48</x:f>
        <x:v>12</x:v>
      </x:c>
      <x:c r="B49" s="12" t="str">
        <x:f>'Weekly Projections'!A48</x:f>
        <x:v>De'Von Achane</x:v>
      </x:c>
      <x:c r="C49" s="12" t="str">
        <x:f>'Weekly Projections'!B48</x:f>
        <x:v>MIA</x:v>
      </x:c>
      <x:c r="D49" s="12" t="str">
        <x:f>'Weekly Projections'!C48</x:f>
        <x:v>RB</x:v>
      </x:c>
      <x:c r="E49" s="12" t="str">
        <x:f>'Weekly Projections'!D48</x:f>
        <x:v>KC</x:v>
      </x:c>
      <x:c r="F49" s="13" t="n">
        <x:f>'Weekly Projections'!AW48</x:f>
        <x:v>13.048217004048581</x:v>
      </x:c>
      <x:c r="G49" s="13" t="n">
        <x:f>'Weekly Projections'!AX48</x:f>
        <x:v>7.567965862348177</x:v>
      </x:c>
      <x:c r="H49" s="13" t="n">
        <x:f>'Weekly Projections'!AY48</x:f>
        <x:v>18.919914655870443</x:v>
      </x:c>
      <x:c r="I49" s="12" t="str">
        <x:f>'Weekly Projections'!H48</x:f>
        <x:v>ACTIVE</x:v>
      </x:c>
      <x:c r="J49" s="12" t="str">
        <x:f>'Weekly Projections'!AZ48</x:f>
        <x:v>High</x:v>
      </x:c>
      <x:c r="K49" s="12" t="n">
        <x:f>'Weekly Projections'!BA48</x:f>
        <x:v>2</x:v>
      </x:c>
      <x:c r="L49" s="12" t="n">
        <x:f>'Weekly Projections'!BC48</x:f>
        <x:v>12</x:v>
      </x:c>
      <x:c r="M49" s="12" t="str">
        <x:f>'Weekly Projections'!BD48</x:f>
        <x:v>→</x:v>
      </x:c>
    </x:row>
    <x:row r="50">
      <x:c r="A50" s="14" t="n">
        <x:f>'Weekly Projections'!BB49</x:f>
        <x:v>13</x:v>
      </x:c>
      <x:c r="B50" s="12" t="str">
        <x:f>'Weekly Projections'!A49</x:f>
        <x:v>Kyren Williams</x:v>
      </x:c>
      <x:c r="C50" s="12" t="str">
        <x:f>'Weekly Projections'!B49</x:f>
        <x:v>LAR</x:v>
      </x:c>
      <x:c r="D50" s="12" t="str">
        <x:f>'Weekly Projections'!C49</x:f>
        <x:v>RB</x:v>
      </x:c>
      <x:c r="E50" s="12" t="str">
        <x:f>'Weekly Projections'!D49</x:f>
        <x:v>DEN</x:v>
      </x:c>
      <x:c r="F50" s="13" t="n">
        <x:f>'Weekly Projections'!AW49</x:f>
        <x:v>12.801276923076927</x:v>
      </x:c>
      <x:c r="G50" s="13" t="n">
        <x:f>'Weekly Projections'!AX49</x:f>
        <x:v>7.424740615384617</x:v>
      </x:c>
      <x:c r="H50" s="13" t="n">
        <x:f>'Weekly Projections'!AY49</x:f>
        <x:v>18.561851538461543</x:v>
      </x:c>
      <x:c r="I50" s="12" t="str">
        <x:f>'Weekly Projections'!H49</x:f>
        <x:v>ACTIVE</x:v>
      </x:c>
      <x:c r="J50" s="12" t="str">
        <x:f>'Weekly Projections'!AZ49</x:f>
        <x:v>High</x:v>
      </x:c>
      <x:c r="K50" s="12" t="n">
        <x:f>'Weekly Projections'!BA49</x:f>
        <x:v>2</x:v>
      </x:c>
      <x:c r="L50" s="12" t="n">
        <x:f>'Weekly Projections'!BC49</x:f>
        <x:v>13</x:v>
      </x:c>
      <x:c r="M50" s="12" t="str">
        <x:f>'Weekly Projections'!BD49</x:f>
        <x:v>→</x:v>
      </x:c>
    </x:row>
    <x:row r="51">
      <x:c r="A51" s="14" t="n">
        <x:f>'Weekly Projections'!BB50</x:f>
        <x:v>14</x:v>
      </x:c>
      <x:c r="B51" s="12" t="str">
        <x:f>'Weekly Projections'!A50</x:f>
        <x:v>Omarion Hampton</x:v>
      </x:c>
      <x:c r="C51" s="12" t="str">
        <x:f>'Weekly Projections'!B50</x:f>
        <x:v>LAC</x:v>
      </x:c>
      <x:c r="D51" s="12" t="str">
        <x:f>'Weekly Projections'!C50</x:f>
        <x:v>RB</x:v>
      </x:c>
      <x:c r="E51" s="12" t="str">
        <x:f>'Weekly Projections'!D50</x:f>
        <x:v>BUF</x:v>
      </x:c>
      <x:c r="F51" s="13" t="n">
        <x:f>'Weekly Projections'!AW50</x:f>
        <x:v>12.453415384615385</x:v>
      </x:c>
      <x:c r="G51" s="13" t="n">
        <x:f>'Weekly Projections'!AX50</x:f>
        <x:v>7.222980923076922</x:v>
      </x:c>
      <x:c r="H51" s="13" t="n">
        <x:f>'Weekly Projections'!AY50</x:f>
        <x:v>18.05745230769231</x:v>
      </x:c>
      <x:c r="I51" s="12" t="str">
        <x:f>'Weekly Projections'!H50</x:f>
        <x:v>ACTIVE</x:v>
      </x:c>
      <x:c r="J51" s="12" t="str">
        <x:f>'Weekly Projections'!AZ50</x:f>
        <x:v>High</x:v>
      </x:c>
      <x:c r="K51" s="12" t="n">
        <x:f>'Weekly Projections'!BA50</x:f>
        <x:v>2</x:v>
      </x:c>
      <x:c r="L51" s="12" t="n">
        <x:f>'Weekly Projections'!BC50</x:f>
        <x:v>14</x:v>
      </x:c>
      <x:c r="M51" s="12" t="str">
        <x:f>'Weekly Projections'!BD50</x:f>
        <x:v>→</x:v>
      </x:c>
    </x:row>
    <x:row r="52">
      <x:c r="A52" s="14" t="n">
        <x:f>'Weekly Projections'!BB51</x:f>
        <x:v>15</x:v>
      </x:c>
      <x:c r="B52" s="12" t="str">
        <x:f>'Weekly Projections'!A51</x:f>
        <x:v>Breece Hall</x:v>
      </x:c>
      <x:c r="C52" s="12" t="str">
        <x:f>'Weekly Projections'!B51</x:f>
        <x:v>NYJ</x:v>
      </x:c>
      <x:c r="D52" s="12" t="str">
        <x:f>'Weekly Projections'!C51</x:f>
        <x:v>RB</x:v>
      </x:c>
      <x:c r="E52" s="12" t="str">
        <x:f>'Weekly Projections'!D51</x:f>
        <x:v>DET</x:v>
      </x:c>
      <x:c r="F52" s="13" t="n">
        <x:f>'Weekly Projections'!AW51</x:f>
        <x:v>12.360647773279354</x:v>
      </x:c>
      <x:c r="G52" s="13" t="n">
        <x:f>'Weekly Projections'!AX51</x:f>
        <x:v>7.169175708502024</x:v>
      </x:c>
      <x:c r="H52" s="13" t="n">
        <x:f>'Weekly Projections'!AY51</x:f>
        <x:v>17.92293927125506</x:v>
      </x:c>
      <x:c r="I52" s="12" t="str">
        <x:f>'Weekly Projections'!H51</x:f>
        <x:v>ACTIVE</x:v>
      </x:c>
      <x:c r="J52" s="12" t="str">
        <x:f>'Weekly Projections'!AZ51</x:f>
        <x:v>High</x:v>
      </x:c>
      <x:c r="K52" s="12" t="n">
        <x:f>'Weekly Projections'!BA51</x:f>
        <x:v>2</x:v>
      </x:c>
      <x:c r="L52" s="12" t="n">
        <x:f>'Weekly Projections'!BC51</x:f>
        <x:v>15</x:v>
      </x:c>
      <x:c r="M52" s="12" t="str">
        <x:f>'Weekly Projections'!BD51</x:f>
        <x:v>→</x:v>
      </x:c>
    </x:row>
    <x:row r="53">
      <x:c r="A53" s="14" t="n">
        <x:f>'Weekly Projections'!BB52</x:f>
        <x:v>16</x:v>
      </x:c>
      <x:c r="B53" s="12" t="str">
        <x:f>'Weekly Projections'!A52</x:f>
        <x:v>Bucky Irving</x:v>
      </x:c>
      <x:c r="C53" s="12" t="str">
        <x:f>'Weekly Projections'!B52</x:f>
        <x:v>TB</x:v>
      </x:c>
      <x:c r="D53" s="12" t="str">
        <x:f>'Weekly Projections'!C52</x:f>
        <x:v>RB</x:v>
      </x:c>
      <x:c r="E53" s="12" t="str">
        <x:f>'Weekly Projections'!D52</x:f>
        <x:v>MIN</x:v>
      </x:c>
      <x:c r="F53" s="13" t="n">
        <x:f>'Weekly Projections'!AW52</x:f>
        <x:v>11.99893117408907</x:v>
      </x:c>
      <x:c r="G53" s="13" t="n">
        <x:f>'Weekly Projections'!AX52</x:f>
        <x:v>6.95938008097166</x:v>
      </x:c>
      <x:c r="H53" s="13" t="n">
        <x:f>'Weekly Projections'!AY52</x:f>
        <x:v>17.39845020242915</x:v>
      </x:c>
      <x:c r="I53" s="12" t="str">
        <x:f>'Weekly Projections'!H52</x:f>
        <x:v>ACTIVE</x:v>
      </x:c>
      <x:c r="J53" s="12" t="str">
        <x:f>'Weekly Projections'!AZ52</x:f>
        <x:v>High</x:v>
      </x:c>
      <x:c r="K53" s="12" t="n">
        <x:f>'Weekly Projections'!BA52</x:f>
        <x:v>2</x:v>
      </x:c>
      <x:c r="L53" s="12" t="n">
        <x:f>'Weekly Projections'!BC52</x:f>
        <x:v>16</x:v>
      </x:c>
      <x:c r="M53" s="12" t="str">
        <x:f>'Weekly Projections'!BD52</x:f>
        <x:v>→</x:v>
      </x:c>
    </x:row>
    <x:row r="54">
      <x:c r="A54" s="14" t="n">
        <x:f>'Weekly Projections'!BB53</x:f>
        <x:v>17</x:v>
      </x:c>
      <x:c r="B54" s="12" t="str">
        <x:f>'Weekly Projections'!A53</x:f>
        <x:v>David Montgomery</x:v>
      </x:c>
      <x:c r="C54" s="12" t="str">
        <x:f>'Weekly Projections'!B53</x:f>
        <x:v>HOU</x:v>
      </x:c>
      <x:c r="D54" s="12" t="str">
        <x:f>'Weekly Projections'!C53</x:f>
        <x:v>RB</x:v>
      </x:c>
      <x:c r="E54" s="12" t="str">
        <x:f>'Weekly Projections'!D53</x:f>
        <x:v>IND</x:v>
      </x:c>
      <x:c r="F54" s="13" t="n">
        <x:f>'Weekly Projections'!AW53</x:f>
        <x:v>11.992226720647775</x:v>
      </x:c>
      <x:c r="G54" s="13" t="n">
        <x:f>'Weekly Projections'!AX53</x:f>
        <x:v>6.955491497975709</x:v>
      </x:c>
      <x:c r="H54" s="13" t="n">
        <x:f>'Weekly Projections'!AY53</x:f>
        <x:v>17.38872874493927</x:v>
      </x:c>
      <x:c r="I54" s="12" t="str">
        <x:f>'Weekly Projections'!H53</x:f>
        <x:v>ACTIVE</x:v>
      </x:c>
      <x:c r="J54" s="12" t="str">
        <x:f>'Weekly Projections'!AZ53</x:f>
        <x:v>High</x:v>
      </x:c>
      <x:c r="K54" s="12" t="n">
        <x:f>'Weekly Projections'!BA53</x:f>
        <x:v>2</x:v>
      </x:c>
      <x:c r="L54" s="12" t="n">
        <x:f>'Weekly Projections'!BC53</x:f>
        <x:v>17</x:v>
      </x:c>
      <x:c r="M54" s="12" t="str">
        <x:f>'Weekly Projections'!BD53</x:f>
        <x:v>→</x:v>
      </x:c>
    </x:row>
    <x:row r="55">
      <x:c r="A55" s="14" t="n">
        <x:f>'Weekly Projections'!BB54</x:f>
        <x:v>18</x:v>
      </x:c>
      <x:c r="B55" s="12" t="str">
        <x:f>'Weekly Projections'!A54</x:f>
        <x:v>Jeremiyah Love</x:v>
      </x:c>
      <x:c r="C55" s="12" t="str">
        <x:f>'Weekly Projections'!B54</x:f>
        <x:v>ARI</x:v>
      </x:c>
      <x:c r="D55" s="12" t="str">
        <x:f>'Weekly Projections'!C54</x:f>
        <x:v>RB</x:v>
      </x:c>
      <x:c r="E55" s="12" t="str">
        <x:f>'Weekly Projections'!D54</x:f>
        <x:v>SF</x:v>
      </x:c>
      <x:c r="F55" s="13" t="n">
        <x:f>'Weekly Projections'!AW54</x:f>
        <x:v>11.45336032388664</x:v>
      </x:c>
      <x:c r="G55" s="13" t="n">
        <x:f>'Weekly Projections'!AX54</x:f>
        <x:v>6.6429489878542505</x:v>
      </x:c>
      <x:c r="H55" s="13" t="n">
        <x:f>'Weekly Projections'!AY54</x:f>
        <x:v>16.607372469635628</x:v>
      </x:c>
      <x:c r="I55" s="12" t="str">
        <x:f>'Weekly Projections'!H54</x:f>
        <x:v>ACTIVE</x:v>
      </x:c>
      <x:c r="J55" s="12" t="str">
        <x:f>'Weekly Projections'!AZ54</x:f>
        <x:v>High</x:v>
      </x:c>
      <x:c r="K55" s="12" t="n">
        <x:f>'Weekly Projections'!BA54</x:f>
        <x:v>2</x:v>
      </x:c>
      <x:c r="L55" s="12" t="n">
        <x:f>'Weekly Projections'!BC54</x:f>
        <x:v>18</x:v>
      </x:c>
      <x:c r="M55" s="12" t="str">
        <x:f>'Weekly Projections'!BD54</x:f>
        <x:v>→</x:v>
      </x:c>
    </x:row>
    <x:row r="56">
      <x:c r="A56" s="14" t="n">
        <x:f>'Weekly Projections'!BB55</x:f>
        <x:v>19</x:v>
      </x:c>
      <x:c r="B56" s="12" t="str">
        <x:f>'Weekly Projections'!A55</x:f>
        <x:v>D'Andre Swift</x:v>
      </x:c>
      <x:c r="C56" s="12" t="str">
        <x:f>'Weekly Projections'!B55</x:f>
        <x:v>CHI</x:v>
      </x:c>
      <x:c r="D56" s="12" t="str">
        <x:f>'Weekly Projections'!C55</x:f>
        <x:v>RB</x:v>
      </x:c>
      <x:c r="E56" s="12" t="str">
        <x:f>'Weekly Projections'!D55</x:f>
        <x:v>PHI</x:v>
      </x:c>
      <x:c r="F56" s="13" t="n">
        <x:f>'Weekly Projections'!AW55</x:f>
        <x:v>11.151595141700406</x:v>
      </x:c>
      <x:c r="G56" s="13" t="n">
        <x:f>'Weekly Projections'!AX55</x:f>
        <x:v>6.467925182186235</x:v>
      </x:c>
      <x:c r="H56" s="13" t="n">
        <x:f>'Weekly Projections'!AY55</x:f>
        <x:v>16.169812955465588</x:v>
      </x:c>
      <x:c r="I56" s="12" t="str">
        <x:f>'Weekly Projections'!H55</x:f>
        <x:v>ACTIVE</x:v>
      </x:c>
      <x:c r="J56" s="12" t="str">
        <x:f>'Weekly Projections'!AZ55</x:f>
        <x:v>High</x:v>
      </x:c>
      <x:c r="K56" s="12" t="n">
        <x:f>'Weekly Projections'!BA55</x:f>
        <x:v>2</x:v>
      </x:c>
      <x:c r="L56" s="12" t="n">
        <x:f>'Weekly Projections'!BC55</x:f>
        <x:v>19</x:v>
      </x:c>
      <x:c r="M56" s="12" t="str">
        <x:f>'Weekly Projections'!BD55</x:f>
        <x:v>→</x:v>
      </x:c>
    </x:row>
    <x:row r="57">
      <x:c r="A57" s="14" t="n">
        <x:f>'Weekly Projections'!BB56</x:f>
        <x:v>20</x:v>
      </x:c>
      <x:c r="B57" s="12" t="str">
        <x:f>'Weekly Projections'!A56</x:f>
        <x:v>Quinshon Judkins</x:v>
      </x:c>
      <x:c r="C57" s="12" t="str">
        <x:f>'Weekly Projections'!B56</x:f>
        <x:v>CLE</x:v>
      </x:c>
      <x:c r="D57" s="12" t="str">
        <x:f>'Weekly Projections'!C56</x:f>
        <x:v>RB</x:v>
      </x:c>
      <x:c r="E57" s="12" t="str">
        <x:f>'Weekly Projections'!D56</x:f>
        <x:v>CAR</x:v>
      </x:c>
      <x:c r="F57" s="13" t="n">
        <x:f>'Weekly Projections'!AW56</x:f>
        <x:v>11.061200809716599</x:v>
      </x:c>
      <x:c r="G57" s="13" t="n">
        <x:f>'Weekly Projections'!AX56</x:f>
        <x:v>6.415496469635627</x:v>
      </x:c>
      <x:c r="H57" s="13" t="n">
        <x:f>'Weekly Projections'!AY56</x:f>
        <x:v>16.03874117408907</x:v>
      </x:c>
      <x:c r="I57" s="12" t="str">
        <x:f>'Weekly Projections'!H56</x:f>
        <x:v>ACTIVE</x:v>
      </x:c>
      <x:c r="J57" s="12" t="str">
        <x:f>'Weekly Projections'!AZ56</x:f>
        <x:v>High</x:v>
      </x:c>
      <x:c r="K57" s="12" t="n">
        <x:f>'Weekly Projections'!BA56</x:f>
        <x:v>2</x:v>
      </x:c>
      <x:c r="L57" s="12" t="n">
        <x:f>'Weekly Projections'!BC56</x:f>
        <x:v>20</x:v>
      </x:c>
      <x:c r="M57" s="12" t="str">
        <x:f>'Weekly Projections'!BD56</x:f>
        <x:v>→</x:v>
      </x:c>
    </x:row>
    <x:row r="58">
      <x:c r="A58" s="14" t="n">
        <x:f>'Weekly Projections'!BB57</x:f>
        <x:v>21</x:v>
      </x:c>
      <x:c r="B58" s="12" t="str">
        <x:f>'Weekly Projections'!A57</x:f>
        <x:v>TreVeyon Henderson</x:v>
      </x:c>
      <x:c r="C58" s="12" t="str">
        <x:f>'Weekly Projections'!B57</x:f>
        <x:v>NE</x:v>
      </x:c>
      <x:c r="D58" s="12" t="str">
        <x:f>'Weekly Projections'!C57</x:f>
        <x:v>RB</x:v>
      </x:c>
      <x:c r="E58" s="12" t="str">
        <x:f>'Weekly Projections'!D57</x:f>
        <x:v>JAX</x:v>
      </x:c>
      <x:c r="F58" s="13" t="n">
        <x:f>'Weekly Projections'!AW57</x:f>
        <x:v>10.696187854251013</x:v>
      </x:c>
      <x:c r="G58" s="13" t="n">
        <x:f>'Weekly Projections'!AX57</x:f>
        <x:v>6.203788955465587</x:v>
      </x:c>
      <x:c r="H58" s="13" t="n">
        <x:f>'Weekly Projections'!AY57</x:f>
        <x:v>15.50947238866397</x:v>
      </x:c>
      <x:c r="I58" s="12" t="str">
        <x:f>'Weekly Projections'!H57</x:f>
        <x:v>ACTIVE</x:v>
      </x:c>
      <x:c r="J58" s="12" t="str">
        <x:f>'Weekly Projections'!AZ57</x:f>
        <x:v>High</x:v>
      </x:c>
      <x:c r="K58" s="12" t="n">
        <x:f>'Weekly Projections'!BA57</x:f>
        <x:v>3</x:v>
      </x:c>
      <x:c r="L58" s="12" t="n">
        <x:f>'Weekly Projections'!BC57</x:f>
        <x:v>21</x:v>
      </x:c>
      <x:c r="M58" s="12" t="str">
        <x:f>'Weekly Projections'!BD57</x:f>
        <x:v>→</x:v>
      </x:c>
    </x:row>
    <x:row r="59">
      <x:c r="A59" s="14" t="n">
        <x:f>'Weekly Projections'!BB58</x:f>
        <x:v>22</x:v>
      </x:c>
      <x:c r="B59" s="12" t="str">
        <x:f>'Weekly Projections'!A58</x:f>
        <x:v>Aaron Jones Sr.</x:v>
      </x:c>
      <x:c r="C59" s="12" t="str">
        <x:f>'Weekly Projections'!B58</x:f>
        <x:v>MIN</x:v>
      </x:c>
      <x:c r="D59" s="12" t="str">
        <x:f>'Weekly Projections'!C58</x:f>
        <x:v>RB</x:v>
      </x:c>
      <x:c r="E59" s="12" t="str">
        <x:f>'Weekly Projections'!D58</x:f>
        <x:v>TB</x:v>
      </x:c>
      <x:c r="F59" s="13" t="n">
        <x:f>'Weekly Projections'!AW58</x:f>
        <x:v>10.604696356275303</x:v>
      </x:c>
      <x:c r="G59" s="13" t="n">
        <x:f>'Weekly Projections'!AX58</x:f>
        <x:v>6.150723886639676</x:v>
      </x:c>
      <x:c r="H59" s="13" t="n">
        <x:f>'Weekly Projections'!AY58</x:f>
        <x:v>15.376809716599189</x:v>
      </x:c>
      <x:c r="I59" s="12" t="str">
        <x:f>'Weekly Projections'!H58</x:f>
        <x:v>ACTIVE</x:v>
      </x:c>
      <x:c r="J59" s="12" t="str">
        <x:f>'Weekly Projections'!AZ58</x:f>
        <x:v>High</x:v>
      </x:c>
      <x:c r="K59" s="12" t="n">
        <x:f>'Weekly Projections'!BA58</x:f>
        <x:v>3</x:v>
      </x:c>
      <x:c r="L59" s="12" t="n">
        <x:f>'Weekly Projections'!BC58</x:f>
        <x:v>22</x:v>
      </x:c>
      <x:c r="M59" s="12" t="str">
        <x:f>'Weekly Projections'!BD58</x:f>
        <x:v>→</x:v>
      </x:c>
    </x:row>
    <x:row r="60">
      <x:c r="A60" s="14" t="n">
        <x:f>'Weekly Projections'!BB59</x:f>
        <x:v>23</x:v>
      </x:c>
      <x:c r="B60" s="12" t="str">
        <x:f>'Weekly Projections'!A59</x:f>
        <x:v>Jaylen Warren</x:v>
      </x:c>
      <x:c r="C60" s="12" t="str">
        <x:f>'Weekly Projections'!B59</x:f>
        <x:v>PIT</x:v>
      </x:c>
      <x:c r="D60" s="12" t="str">
        <x:f>'Weekly Projections'!C59</x:f>
        <x:v>RB</x:v>
      </x:c>
      <x:c r="E60" s="12" t="str">
        <x:f>'Weekly Projections'!D59</x:f>
        <x:v>CIN</x:v>
      </x:c>
      <x:c r="F60" s="13" t="n">
        <x:f>'Weekly Projections'!AW59</x:f>
        <x:v>9.955734412955469</x:v>
      </x:c>
      <x:c r="G60" s="13" t="n">
        <x:f>'Weekly Projections'!AX59</x:f>
        <x:v>5.774325959514171</x:v>
      </x:c>
      <x:c r="H60" s="13" t="n">
        <x:f>'Weekly Projections'!AY59</x:f>
        <x:v>14.435814898785429</x:v>
      </x:c>
      <x:c r="I60" s="12" t="str">
        <x:f>'Weekly Projections'!H59</x:f>
        <x:v>ACTIVE</x:v>
      </x:c>
      <x:c r="J60" s="12" t="str">
        <x:f>'Weekly Projections'!AZ59</x:f>
        <x:v>High</x:v>
      </x:c>
      <x:c r="K60" s="12" t="n">
        <x:f>'Weekly Projections'!BA59</x:f>
        <x:v>3</x:v>
      </x:c>
      <x:c r="L60" s="12" t="n">
        <x:f>'Weekly Projections'!BC59</x:f>
        <x:v>23</x:v>
      </x:c>
      <x:c r="M60" s="12" t="str">
        <x:f>'Weekly Projections'!BD59</x:f>
        <x:v>→</x:v>
      </x:c>
    </x:row>
    <x:row r="61">
      <x:c r="A61" s="14" t="n">
        <x:f>'Weekly Projections'!BB60</x:f>
        <x:v>24</x:v>
      </x:c>
      <x:c r="B61" s="12" t="str">
        <x:f>'Weekly Projections'!A60</x:f>
        <x:v>Bhayshul Tuten</x:v>
      </x:c>
      <x:c r="C61" s="12" t="str">
        <x:f>'Weekly Projections'!B60</x:f>
        <x:v>JAC</x:v>
      </x:c>
      <x:c r="D61" s="12" t="str">
        <x:f>'Weekly Projections'!C60</x:f>
        <x:v>RB</x:v>
      </x:c>
      <x:c r="E61" s="12" t="str">
        <x:f>'Weekly Projections'!D60</x:f>
        <x:v>NE</x:v>
      </x:c>
      <x:c r="F61" s="13" t="n">
        <x:f>'Weekly Projections'!AW60</x:f>
        <x:v>9.700000000000001</x:v>
      </x:c>
      <x:c r="G61" s="13" t="n">
        <x:f>'Weekly Projections'!AX60</x:f>
        <x:v>5.626</x:v>
      </x:c>
      <x:c r="H61" s="13" t="n">
        <x:f>'Weekly Projections'!AY60</x:f>
        <x:v>14.065000000000001</x:v>
      </x:c>
      <x:c r="I61" s="12" t="str">
        <x:f>'Weekly Projections'!H60</x:f>
        <x:v>ACTIVE</x:v>
      </x:c>
      <x:c r="J61" s="12" t="str">
        <x:f>'Weekly Projections'!AZ60</x:f>
        <x:v>High</x:v>
      </x:c>
      <x:c r="K61" s="12" t="n">
        <x:f>'Weekly Projections'!BA60</x:f>
        <x:v>3</x:v>
      </x:c>
      <x:c r="L61" s="12" t="n">
        <x:f>'Weekly Projections'!BC60</x:f>
        <x:v>24</x:v>
      </x:c>
      <x:c r="M61" s="12" t="str">
        <x:f>'Weekly Projections'!BD60</x:f>
        <x:v>→</x:v>
      </x:c>
    </x:row>
    <x:row r="62">
      <x:c r="A62" s="14" t="n">
        <x:f>'Weekly Projections'!BB61</x:f>
        <x:v>25</x:v>
      </x:c>
      <x:c r="B62" s="12" t="str">
        <x:f>'Weekly Projections'!A61</x:f>
        <x:v>Cam Skattebo</x:v>
      </x:c>
      <x:c r="C62" s="12" t="str">
        <x:f>'Weekly Projections'!B61</x:f>
        <x:v>NYG</x:v>
      </x:c>
      <x:c r="D62" s="12" t="str">
        <x:f>'Weekly Projections'!C61</x:f>
        <x:v>RB</x:v>
      </x:c>
      <x:c r="E62" s="12" t="str">
        <x:f>'Weekly Projections'!D61</x:f>
        <x:v>TEN</x:v>
      </x:c>
      <x:c r="F62" s="13" t="n">
        <x:f>'Weekly Projections'!AW61</x:f>
        <x:v>9.32400408097166</x:v>
      </x:c>
      <x:c r="G62" s="13" t="n">
        <x:f>'Weekly Projections'!AX61</x:f>
        <x:v>5.407922366963563</x:v>
      </x:c>
      <x:c r="H62" s="13" t="n">
        <x:f>'Weekly Projections'!AY61</x:f>
        <x:v>13.519805917408906</x:v>
      </x:c>
      <x:c r="I62" s="12" t="str">
        <x:f>'Weekly Projections'!H61</x:f>
        <x:v>ACTIVE</x:v>
      </x:c>
      <x:c r="J62" s="12" t="str">
        <x:f>'Weekly Projections'!AZ61</x:f>
        <x:v>Moderate</x:v>
      </x:c>
      <x:c r="K62" s="12" t="n">
        <x:f>'Weekly Projections'!BA61</x:f>
        <x:v>3</x:v>
      </x:c>
      <x:c r="L62" s="12" t="n">
        <x:f>'Weekly Projections'!BC61</x:f>
        <x:v>25</x:v>
      </x:c>
      <x:c r="M62" s="12" t="str">
        <x:f>'Weekly Projections'!BD61</x:f>
        <x:v>→</x:v>
      </x:c>
    </x:row>
    <x:row r="63">
      <x:c r="A63" s="14" t="n">
        <x:f>'Weekly Projections'!BB62</x:f>
        <x:v>26</x:v>
      </x:c>
      <x:c r="B63" s="12" t="str">
        <x:f>'Weekly Projections'!A62</x:f>
        <x:v>Travis Etienne Jr.</x:v>
      </x:c>
      <x:c r="C63" s="12" t="str">
        <x:f>'Weekly Projections'!B62</x:f>
        <x:v>NO</x:v>
      </x:c>
      <x:c r="D63" s="12" t="str">
        <x:f>'Weekly Projections'!C62</x:f>
        <x:v>RB</x:v>
      </x:c>
      <x:c r="E63" s="12" t="str">
        <x:f>'Weekly Projections'!D62</x:f>
        <x:v>LV</x:v>
      </x:c>
      <x:c r="F63" s="13" t="n">
        <x:f>'Weekly Projections'!AW62</x:f>
        <x:v>9.316275303643726</x:v>
      </x:c>
      <x:c r="G63" s="13" t="n">
        <x:f>'Weekly Projections'!AX62</x:f>
        <x:v>5.4034396761133605</x:v>
      </x:c>
      <x:c r="H63" s="13" t="n">
        <x:f>'Weekly Projections'!AY62</x:f>
        <x:v>13.508599190283404</x:v>
      </x:c>
      <x:c r="I63" s="12" t="str">
        <x:f>'Weekly Projections'!H62</x:f>
        <x:v>ACTIVE</x:v>
      </x:c>
      <x:c r="J63" s="12" t="str">
        <x:f>'Weekly Projections'!AZ62</x:f>
        <x:v>High</x:v>
      </x:c>
      <x:c r="K63" s="12" t="n">
        <x:f>'Weekly Projections'!BA62</x:f>
        <x:v>3</x:v>
      </x:c>
      <x:c r="L63" s="12" t="n">
        <x:f>'Weekly Projections'!BC62</x:f>
        <x:v>26</x:v>
      </x:c>
      <x:c r="M63" s="12" t="str">
        <x:f>'Weekly Projections'!BD62</x:f>
        <x:v>→</x:v>
      </x:c>
    </x:row>
    <x:row r="64">
      <x:c r="A64" s="14" t="n">
        <x:f>'Weekly Projections'!BB63</x:f>
        <x:v>27</x:v>
      </x:c>
      <x:c r="B64" s="12" t="str">
        <x:f>'Weekly Projections'!A63</x:f>
        <x:v>Jadarian Price</x:v>
      </x:c>
      <x:c r="C64" s="12" t="str">
        <x:f>'Weekly Projections'!B63</x:f>
        <x:v>SEA</x:v>
      </x:c>
      <x:c r="D64" s="12" t="str">
        <x:f>'Weekly Projections'!C63</x:f>
        <x:v>RB</x:v>
      </x:c>
      <x:c r="E64" s="12" t="str">
        <x:f>'Weekly Projections'!D63</x:f>
        <x:v>WAS</x:v>
      </x:c>
      <x:c r="F64" s="13" t="n">
        <x:f>'Weekly Projections'!AW63</x:f>
        <x:v>9</x:v>
      </x:c>
      <x:c r="G64" s="13" t="n">
        <x:f>'Weekly Projections'!AX63</x:f>
        <x:v>5.22</x:v>
      </x:c>
      <x:c r="H64" s="13" t="n">
        <x:f>'Weekly Projections'!AY63</x:f>
        <x:v>13.049999999999999</x:v>
      </x:c>
      <x:c r="I64" s="12" t="str">
        <x:f>'Weekly Projections'!H63</x:f>
        <x:v>ACTIVE</x:v>
      </x:c>
      <x:c r="J64" s="12" t="str">
        <x:f>'Weekly Projections'!AZ63</x:f>
        <x:v>High</x:v>
      </x:c>
      <x:c r="K64" s="12" t="n">
        <x:f>'Weekly Projections'!BA63</x:f>
        <x:v>3</x:v>
      </x:c>
      <x:c r="L64" s="12" t="n">
        <x:f>'Weekly Projections'!BC63</x:f>
        <x:v>27</x:v>
      </x:c>
      <x:c r="M64" s="12" t="str">
        <x:f>'Weekly Projections'!BD63</x:f>
        <x:v>→</x:v>
      </x:c>
    </x:row>
    <x:row r="65">
      <x:c r="A65" s="14" t="n">
        <x:f>'Weekly Projections'!BB64</x:f>
        <x:v>28</x:v>
      </x:c>
      <x:c r="B65" s="12" t="str">
        <x:f>'Weekly Projections'!A64</x:f>
        <x:v>Jacory Croskey-Merritt</x:v>
      </x:c>
      <x:c r="C65" s="12" t="str">
        <x:f>'Weekly Projections'!B64</x:f>
        <x:v>WAS</x:v>
      </x:c>
      <x:c r="D65" s="12" t="str">
        <x:f>'Weekly Projections'!C64</x:f>
        <x:v>RB</x:v>
      </x:c>
      <x:c r="E65" s="12" t="str">
        <x:f>'Weekly Projections'!D64</x:f>
        <x:v>SEA</x:v>
      </x:c>
      <x:c r="F65" s="13" t="n">
        <x:f>'Weekly Projections'!AW64</x:f>
        <x:v>8.681757085020244</x:v>
      </x:c>
      <x:c r="G65" s="13" t="n">
        <x:f>'Weekly Projections'!AX64</x:f>
        <x:v>5.035419109311741</x:v>
      </x:c>
      <x:c r="H65" s="13" t="n">
        <x:f>'Weekly Projections'!AY64</x:f>
        <x:v>12.588547773279354</x:v>
      </x:c>
      <x:c r="I65" s="12" t="str">
        <x:f>'Weekly Projections'!H64</x:f>
        <x:v>ACTIVE</x:v>
      </x:c>
      <x:c r="J65" s="12" t="str">
        <x:f>'Weekly Projections'!AZ64</x:f>
        <x:v>High</x:v>
      </x:c>
      <x:c r="K65" s="12" t="n">
        <x:f>'Weekly Projections'!BA64</x:f>
        <x:v>3</x:v>
      </x:c>
      <x:c r="L65" s="12" t="n">
        <x:f>'Weekly Projections'!BC64</x:f>
        <x:v>28</x:v>
      </x:c>
      <x:c r="M65" s="12" t="str">
        <x:f>'Weekly Projections'!BD64</x:f>
        <x:v>→</x:v>
      </x:c>
    </x:row>
    <x:row r="66">
      <x:c r="A66" s="14" t="n">
        <x:f>'Weekly Projections'!BB65</x:f>
        <x:v>29</x:v>
      </x:c>
      <x:c r="B66" s="12" t="str">
        <x:f>'Weekly Projections'!A65</x:f>
        <x:v>Rico Dowdle</x:v>
      </x:c>
      <x:c r="C66" s="12" t="str">
        <x:f>'Weekly Projections'!B65</x:f>
        <x:v>PIT</x:v>
      </x:c>
      <x:c r="D66" s="12" t="str">
        <x:f>'Weekly Projections'!C65</x:f>
        <x:v>RB</x:v>
      </x:c>
      <x:c r="E66" s="12" t="str">
        <x:f>'Weekly Projections'!D65</x:f>
        <x:v>CIN</x:v>
      </x:c>
      <x:c r="F66" s="13" t="n">
        <x:f>'Weekly Projections'!AW65</x:f>
        <x:v>8.62146072874494</x:v>
      </x:c>
      <x:c r="G66" s="13" t="n">
        <x:f>'Weekly Projections'!AX65</x:f>
        <x:v>5.000447222672065</x:v>
      </x:c>
      <x:c r="H66" s="13" t="n">
        <x:f>'Weekly Projections'!AY65</x:f>
        <x:v>12.501118056680165</x:v>
      </x:c>
      <x:c r="I66" s="12" t="str">
        <x:f>'Weekly Projections'!H65</x:f>
        <x:v>ACTIVE</x:v>
      </x:c>
      <x:c r="J66" s="12" t="str">
        <x:f>'Weekly Projections'!AZ65</x:f>
        <x:v>High</x:v>
      </x:c>
      <x:c r="K66" s="12" t="n">
        <x:f>'Weekly Projections'!BA65</x:f>
        <x:v>3</x:v>
      </x:c>
      <x:c r="L66" s="12" t="n">
        <x:f>'Weekly Projections'!BC65</x:f>
        <x:v>29</x:v>
      </x:c>
      <x:c r="M66" s="12" t="str">
        <x:f>'Weekly Projections'!BD65</x:f>
        <x:v>→</x:v>
      </x:c>
    </x:row>
    <x:row r="67">
      <x:c r="A67" s="14" t="n">
        <x:f>'Weekly Projections'!BB66</x:f>
        <x:v>30</x:v>
      </x:c>
      <x:c r="B67" s="12" t="str">
        <x:f>'Weekly Projections'!A66</x:f>
        <x:v>Tony Pollard</x:v>
      </x:c>
      <x:c r="C67" s="12" t="str">
        <x:f>'Weekly Projections'!B66</x:f>
        <x:v>TEN</x:v>
      </x:c>
      <x:c r="D67" s="12" t="str">
        <x:f>'Weekly Projections'!C66</x:f>
        <x:v>RB</x:v>
      </x:c>
      <x:c r="E67" s="12" t="str">
        <x:f>'Weekly Projections'!D66</x:f>
        <x:v>NYG</x:v>
      </x:c>
      <x:c r="F67" s="13" t="n">
        <x:f>'Weekly Projections'!AW66</x:f>
        <x:v>8.415206477732795</x:v>
      </x:c>
      <x:c r="G67" s="13" t="n">
        <x:f>'Weekly Projections'!AX66</x:f>
        <x:v>4.880819757085021</x:v>
      </x:c>
      <x:c r="H67" s="13" t="n">
        <x:f>'Weekly Projections'!AY66</x:f>
        <x:v>12.202049392712553</x:v>
      </x:c>
      <x:c r="I67" s="12" t="str">
        <x:f>'Weekly Projections'!H66</x:f>
        <x:v>ACTIVE</x:v>
      </x:c>
      <x:c r="J67" s="12" t="str">
        <x:f>'Weekly Projections'!AZ66</x:f>
        <x:v>High</x:v>
      </x:c>
      <x:c r="K67" s="12" t="n">
        <x:f>'Weekly Projections'!BA66</x:f>
        <x:v>3</x:v>
      </x:c>
      <x:c r="L67" s="12" t="n">
        <x:f>'Weekly Projections'!BC66</x:f>
        <x:v>30</x:v>
      </x:c>
      <x:c r="M67" s="12" t="str">
        <x:f>'Weekly Projections'!BD66</x:f>
        <x:v>→</x:v>
      </x:c>
    </x:row>
    <x:row r="68">
      <x:c r="A68" s="14" t="n">
        <x:f>'Weekly Projections'!BB67</x:f>
        <x:v>31</x:v>
      </x:c>
      <x:c r="B68" s="12" t="str">
        <x:f>'Weekly Projections'!A67</x:f>
        <x:v>Rhamondre Stevenson</x:v>
      </x:c>
      <x:c r="C68" s="12" t="str">
        <x:f>'Weekly Projections'!B67</x:f>
        <x:v>NE</x:v>
      </x:c>
      <x:c r="D68" s="12" t="str">
        <x:f>'Weekly Projections'!C67</x:f>
        <x:v>RB</x:v>
      </x:c>
      <x:c r="E68" s="12" t="str">
        <x:f>'Weekly Projections'!D67</x:f>
        <x:v>JAX</x:v>
      </x:c>
      <x:c r="F68" s="13" t="n">
        <x:f>'Weekly Projections'!AW67</x:f>
        <x:v>7.997149797570851</x:v>
      </x:c>
      <x:c r="G68" s="13" t="n">
        <x:f>'Weekly Projections'!AX67</x:f>
        <x:v>4.638346882591094</x:v>
      </x:c>
      <x:c r="H68" s="13" t="n">
        <x:f>'Weekly Projections'!AY67</x:f>
        <x:v>11.595867206477735</x:v>
      </x:c>
      <x:c r="I68" s="12" t="str">
        <x:f>'Weekly Projections'!H67</x:f>
        <x:v>ACTIVE</x:v>
      </x:c>
      <x:c r="J68" s="12" t="str">
        <x:f>'Weekly Projections'!AZ67</x:f>
        <x:v>High</x:v>
      </x:c>
      <x:c r="K68" s="12" t="n">
        <x:f>'Weekly Projections'!BA67</x:f>
        <x:v>4</x:v>
      </x:c>
      <x:c r="L68" s="12" t="n">
        <x:f>'Weekly Projections'!BC67</x:f>
        <x:v>32</x:v>
      </x:c>
      <x:c r="M68" s="12" t="str">
        <x:f>'Weekly Projections'!BD67</x:f>
        <x:v>↑</x:v>
      </x:c>
    </x:row>
    <x:row r="69">
      <x:c r="A69" s="14" t="n">
        <x:f>'Weekly Projections'!BB68</x:f>
        <x:v>32</x:v>
      </x:c>
      <x:c r="B69" s="12" t="str">
        <x:f>'Weekly Projections'!A68</x:f>
        <x:v>Chuba Hubbard</x:v>
      </x:c>
      <x:c r="C69" s="12" t="str">
        <x:f>'Weekly Projections'!B68</x:f>
        <x:v>CAR</x:v>
      </x:c>
      <x:c r="D69" s="12" t="str">
        <x:f>'Weekly Projections'!C68</x:f>
        <x:v>RB</x:v>
      </x:c>
      <x:c r="E69" s="12" t="str">
        <x:f>'Weekly Projections'!D68</x:f>
        <x:v>CLE</x:v>
      </x:c>
      <x:c r="F69" s="13" t="n">
        <x:f>'Weekly Projections'!AW68</x:f>
        <x:v>7.814302834008098</x:v>
      </x:c>
      <x:c r="G69" s="13" t="n">
        <x:f>'Weekly Projections'!AX68</x:f>
        <x:v>4.532295643724696</x:v>
      </x:c>
      <x:c r="H69" s="13" t="n">
        <x:f>'Weekly Projections'!AY68</x:f>
        <x:v>11.330739109311741</x:v>
      </x:c>
      <x:c r="I69" s="12" t="str">
        <x:f>'Weekly Projections'!H68</x:f>
        <x:v>ACTIVE</x:v>
      </x:c>
      <x:c r="J69" s="12" t="str">
        <x:f>'Weekly Projections'!AZ68</x:f>
        <x:v>High</x:v>
      </x:c>
      <x:c r="K69" s="12" t="n">
        <x:f>'Weekly Projections'!BA68</x:f>
        <x:v>4</x:v>
      </x:c>
      <x:c r="L69" s="12" t="n">
        <x:f>'Weekly Projections'!BC68</x:f>
        <x:v>33</x:v>
      </x:c>
      <x:c r="M69" s="12" t="str">
        <x:f>'Weekly Projections'!BD68</x:f>
        <x:v>↑</x:v>
      </x:c>
    </x:row>
    <x:row r="70">
      <x:c r="A70" s="14" t="n">
        <x:f>'Weekly Projections'!BB69</x:f>
        <x:v>33</x:v>
      </x:c>
      <x:c r="B70" s="12" t="str">
        <x:f>'Weekly Projections'!A69</x:f>
        <x:v>Kyle Monangai</x:v>
      </x:c>
      <x:c r="C70" s="12" t="str">
        <x:f>'Weekly Projections'!B69</x:f>
        <x:v>CHI</x:v>
      </x:c>
      <x:c r="D70" s="12" t="str">
        <x:f>'Weekly Projections'!C69</x:f>
        <x:v>RB</x:v>
      </x:c>
      <x:c r="E70" s="12" t="str">
        <x:f>'Weekly Projections'!D69</x:f>
        <x:v>PHI</x:v>
      </x:c>
      <x:c r="F70" s="13" t="n">
        <x:f>'Weekly Projections'!AW69</x:f>
        <x:v>7.741603238866397</x:v>
      </x:c>
      <x:c r="G70" s="13" t="n">
        <x:f>'Weekly Projections'!AX69</x:f>
        <x:v>4.49012987854251</x:v>
      </x:c>
      <x:c r="H70" s="13" t="n">
        <x:f>'Weekly Projections'!AY69</x:f>
        <x:v>11.225324696356276</x:v>
      </x:c>
      <x:c r="I70" s="12" t="str">
        <x:f>'Weekly Projections'!H69</x:f>
        <x:v>ACTIVE</x:v>
      </x:c>
      <x:c r="J70" s="12" t="str">
        <x:f>'Weekly Projections'!AZ69</x:f>
        <x:v>High</x:v>
      </x:c>
      <x:c r="K70" s="12" t="n">
        <x:f>'Weekly Projections'!BA69</x:f>
        <x:v>4</x:v>
      </x:c>
      <x:c r="L70" s="12" t="n">
        <x:f>'Weekly Projections'!BC69</x:f>
        <x:v>34</x:v>
      </x:c>
      <x:c r="M70" s="12" t="str">
        <x:f>'Weekly Projections'!BD69</x:f>
        <x:v>↑</x:v>
      </x:c>
    </x:row>
    <x:row r="71">
      <x:c r="A71" s="14" t="n">
        <x:f>'Weekly Projections'!BB70</x:f>
        <x:v>34</x:v>
      </x:c>
      <x:c r="B71" s="12" t="str">
        <x:f>'Weekly Projections'!A70</x:f>
        <x:v>Kenny Gainwell</x:v>
      </x:c>
      <x:c r="C71" s="12" t="str">
        <x:f>'Weekly Projections'!B70</x:f>
        <x:v>TB</x:v>
      </x:c>
      <x:c r="D71" s="12" t="str">
        <x:f>'Weekly Projections'!C70</x:f>
        <x:v>RB</x:v>
      </x:c>
      <x:c r="E71" s="12" t="str">
        <x:f>'Weekly Projections'!D70</x:f>
        <x:v>MIN</x:v>
      </x:c>
      <x:c r="F71" s="13" t="n">
        <x:f>'Weekly Projections'!AW70</x:f>
        <x:v>7.699314170040487</x:v>
      </x:c>
      <x:c r="G71" s="13" t="n">
        <x:f>'Weekly Projections'!AX70</x:f>
        <x:v>4.465602218623482</x:v>
      </x:c>
      <x:c r="H71" s="13" t="n">
        <x:f>'Weekly Projections'!AY70</x:f>
        <x:v>11.164005546558705</x:v>
      </x:c>
      <x:c r="I71" s="12" t="str">
        <x:f>'Weekly Projections'!H70</x:f>
        <x:v>ACTIVE</x:v>
      </x:c>
      <x:c r="J71" s="12" t="str">
        <x:f>'Weekly Projections'!AZ70</x:f>
        <x:v>High</x:v>
      </x:c>
      <x:c r="K71" s="12" t="n">
        <x:f>'Weekly Projections'!BA70</x:f>
        <x:v>4</x:v>
      </x:c>
      <x:c r="L71" s="12" t="n">
        <x:f>'Weekly Projections'!BC70</x:f>
        <x:v>35</x:v>
      </x:c>
      <x:c r="M71" s="12" t="str">
        <x:f>'Weekly Projections'!BD70</x:f>
        <x:v>↑</x:v>
      </x:c>
    </x:row>
    <x:row r="72">
      <x:c r="A72" s="14" t="n">
        <x:f>'Weekly Projections'!BB72</x:f>
        <x:v>35</x:v>
      </x:c>
      <x:c r="B72" s="12" t="str">
        <x:f>'Weekly Projections'!A72</x:f>
        <x:v>Mike Washington Jr.</x:v>
      </x:c>
      <x:c r="C72" s="12" t="str">
        <x:f>'Weekly Projections'!B72</x:f>
        <x:v>LV</x:v>
      </x:c>
      <x:c r="D72" s="12" t="str">
        <x:f>'Weekly Projections'!C72</x:f>
        <x:v>RB</x:v>
      </x:c>
      <x:c r="E72" s="12" t="str">
        <x:f>'Weekly Projections'!D72</x:f>
        <x:v>NO</x:v>
      </x:c>
      <x:c r="F72" s="13" t="n">
        <x:f>'Weekly Projections'!AW72</x:f>
        <x:v>7.26028178137652</x:v>
      </x:c>
      <x:c r="G72" s="13" t="n">
        <x:f>'Weekly Projections'!AX72</x:f>
        <x:v>4.210963433198382</x:v>
      </x:c>
      <x:c r="H72" s="13" t="n">
        <x:f>'Weekly Projections'!AY72</x:f>
        <x:v>10.527408582995953</x:v>
      </x:c>
      <x:c r="I72" s="12" t="str">
        <x:f>'Weekly Projections'!H72</x:f>
        <x:v>ACTIVE</x:v>
      </x:c>
      <x:c r="J72" s="12" t="str">
        <x:f>'Weekly Projections'!AZ72</x:f>
        <x:v>High</x:v>
      </x:c>
      <x:c r="K72" s="12" t="n">
        <x:f>'Weekly Projections'!BA72</x:f>
        <x:v>4</x:v>
      </x:c>
      <x:c r="L72" s="12" t="n">
        <x:f>'Weekly Projections'!BC72</x:f>
        <x:v>36</x:v>
      </x:c>
      <x:c r="M72" s="12" t="str">
        <x:f>'Weekly Projections'!BD72</x:f>
        <x:v>↑</x:v>
      </x:c>
    </x:row>
    <x:row r="73">
      <x:c r="A73" s="14" t="n">
        <x:f>'Weekly Projections'!BB74</x:f>
        <x:v>36</x:v>
      </x:c>
      <x:c r="B73" s="12" t="str">
        <x:f>'Weekly Projections'!A74</x:f>
        <x:v>RJ Harvey</x:v>
      </x:c>
      <x:c r="C73" s="12" t="str">
        <x:f>'Weekly Projections'!B74</x:f>
        <x:v>DEN</x:v>
      </x:c>
      <x:c r="D73" s="12" t="str">
        <x:f>'Weekly Projections'!C74</x:f>
        <x:v>RB</x:v>
      </x:c>
      <x:c r="E73" s="12" t="str">
        <x:f>'Weekly Projections'!D74</x:f>
        <x:v>LAR</x:v>
      </x:c>
      <x:c r="F73" s="13" t="n">
        <x:f>'Weekly Projections'!AW74</x:f>
        <x:v>7.010206747638328</x:v>
      </x:c>
      <x:c r="G73" s="13" t="n">
        <x:f>'Weekly Projections'!AX74</x:f>
        <x:v>4.06591991363023</x:v>
      </x:c>
      <x:c r="H73" s="13" t="n">
        <x:f>'Weekly Projections'!AY74</x:f>
        <x:v>10.164799784075576</x:v>
      </x:c>
      <x:c r="I73" s="12" t="str">
        <x:f>'Weekly Projections'!H74</x:f>
        <x:v>ACTIVE</x:v>
      </x:c>
      <x:c r="J73" s="12" t="str">
        <x:f>'Weekly Projections'!AZ74</x:f>
        <x:v>High</x:v>
      </x:c>
      <x:c r="K73" s="12" t="n">
        <x:f>'Weekly Projections'!BA74</x:f>
        <x:v>4</x:v>
      </x:c>
      <x:c r="L73" s="12" t="n">
        <x:f>'Weekly Projections'!BC74</x:f>
        <x:v>37</x:v>
      </x:c>
      <x:c r="M73" s="12" t="str">
        <x:f>'Weekly Projections'!BD74</x:f>
        <x:v>↑</x:v>
      </x:c>
    </x:row>
    <x:row r="74">
      <x:c r="A74" s="14" t="n">
        <x:f>'Weekly Projections'!BB75</x:f>
        <x:v>37</x:v>
      </x:c>
      <x:c r="B74" s="12" t="str">
        <x:f>'Weekly Projections'!A75</x:f>
        <x:v>J.K. Dobbins</x:v>
      </x:c>
      <x:c r="C74" s="12" t="str">
        <x:f>'Weekly Projections'!B75</x:f>
        <x:v>DEN</x:v>
      </x:c>
      <x:c r="D74" s="12" t="str">
        <x:f>'Weekly Projections'!C75</x:f>
        <x:v>RB</x:v>
      </x:c>
      <x:c r="E74" s="12" t="str">
        <x:f>'Weekly Projections'!D75</x:f>
        <x:v>LAR</x:v>
      </x:c>
      <x:c r="F74" s="13" t="n">
        <x:f>'Weekly Projections'!AW75</x:f>
        <x:v>7.00761133603239</x:v>
      </x:c>
      <x:c r="G74" s="13" t="n">
        <x:f>'Weekly Projections'!AX75</x:f>
        <x:v>4.064414574898786</x:v>
      </x:c>
      <x:c r="H74" s="13" t="n">
        <x:f>'Weekly Projections'!AY75</x:f>
        <x:v>10.161036437246965</x:v>
      </x:c>
      <x:c r="I74" s="12" t="str">
        <x:f>'Weekly Projections'!H75</x:f>
        <x:v>ACTIVE</x:v>
      </x:c>
      <x:c r="J74" s="12" t="str">
        <x:f>'Weekly Projections'!AZ75</x:f>
        <x:v>High</x:v>
      </x:c>
      <x:c r="K74" s="12" t="n">
        <x:f>'Weekly Projections'!BA75</x:f>
        <x:v>4</x:v>
      </x:c>
      <x:c r="L74" s="12" t="n">
        <x:f>'Weekly Projections'!BC75</x:f>
        <x:v>38</x:v>
      </x:c>
      <x:c r="M74" s="12" t="str">
        <x:f>'Weekly Projections'!BD75</x:f>
        <x:v>↑</x:v>
      </x:c>
    </x:row>
    <x:row r="75">
      <x:c r="A75" s="14" t="n">
        <x:f>'Weekly Projections'!BB76</x:f>
        <x:v>38</x:v>
      </x:c>
      <x:c r="B75" s="12" t="str">
        <x:f>'Weekly Projections'!A76</x:f>
        <x:v>Chris Rodriguez Jr.</x:v>
      </x:c>
      <x:c r="C75" s="12" t="str">
        <x:f>'Weekly Projections'!B76</x:f>
        <x:v>JAC</x:v>
      </x:c>
      <x:c r="D75" s="12" t="str">
        <x:f>'Weekly Projections'!C76</x:f>
        <x:v>RB</x:v>
      </x:c>
      <x:c r="E75" s="12" t="str">
        <x:f>'Weekly Projections'!D76</x:f>
        <x:v>NE</x:v>
      </x:c>
      <x:c r="F75" s="13" t="n">
        <x:f>'Weekly Projections'!AW76</x:f>
        <x:v>6.5</x:v>
      </x:c>
      <x:c r="G75" s="13" t="n">
        <x:f>'Weekly Projections'!AX76</x:f>
        <x:v>3.7699999999999996</x:v>
      </x:c>
      <x:c r="H75" s="13" t="n">
        <x:f>'Weekly Projections'!AY76</x:f>
        <x:v>9.424999999999999</x:v>
      </x:c>
      <x:c r="I75" s="12" t="str">
        <x:f>'Weekly Projections'!H76</x:f>
        <x:v>ACTIVE</x:v>
      </x:c>
      <x:c r="J75" s="12" t="str">
        <x:f>'Weekly Projections'!AZ76</x:f>
        <x:v>High</x:v>
      </x:c>
      <x:c r="K75" s="12" t="n">
        <x:f>'Weekly Projections'!BA76</x:f>
        <x:v>4</x:v>
      </x:c>
      <x:c r="L75" s="12" t="n">
        <x:f>'Weekly Projections'!BC76</x:f>
        <x:v>39</x:v>
      </x:c>
      <x:c r="M75" s="12" t="str">
        <x:f>'Weekly Projections'!BD76</x:f>
        <x:v>↑</x:v>
      </x:c>
    </x:row>
    <x:row r="76">
      <x:c r="A76" s="14" t="n">
        <x:f>'Weekly Projections'!BB77</x:f>
        <x:v>39</x:v>
      </x:c>
      <x:c r="B76" s="12" t="str">
        <x:f>'Weekly Projections'!A77</x:f>
        <x:v>Emmett Johnson</x:v>
      </x:c>
      <x:c r="C76" s="12" t="str">
        <x:f>'Weekly Projections'!B77</x:f>
        <x:v>KC</x:v>
      </x:c>
      <x:c r="D76" s="12" t="str">
        <x:f>'Weekly Projections'!C77</x:f>
        <x:v>RB</x:v>
      </x:c>
      <x:c r="E76" s="12" t="str">
        <x:f>'Weekly Projections'!D77</x:f>
        <x:v>MIA</x:v>
      </x:c>
      <x:c r="F76" s="13" t="n">
        <x:f>'Weekly Projections'!AW77</x:f>
        <x:v>6.486843724696357</x:v>
      </x:c>
      <x:c r="G76" s="13" t="n">
        <x:f>'Weekly Projections'!AX77</x:f>
        <x:v>3.7623693603238864</x:v>
      </x:c>
      <x:c r="H76" s="13" t="n">
        <x:f>'Weekly Projections'!AY77</x:f>
        <x:v>9.405923400809717</x:v>
      </x:c>
      <x:c r="I76" s="12" t="str">
        <x:f>'Weekly Projections'!H77</x:f>
        <x:v>ACTIVE</x:v>
      </x:c>
      <x:c r="J76" s="12" t="str">
        <x:f>'Weekly Projections'!AZ77</x:f>
        <x:v>High</x:v>
      </x:c>
      <x:c r="K76" s="12" t="n">
        <x:f>'Weekly Projections'!BA77</x:f>
        <x:v>5</x:v>
      </x:c>
      <x:c r="L76" s="12" t="n">
        <x:f>'Weekly Projections'!BC77</x:f>
        <x:v>40</x:v>
      </x:c>
      <x:c r="M76" s="12" t="str">
        <x:f>'Weekly Projections'!BD77</x:f>
        <x:v>↑</x:v>
      </x:c>
    </x:row>
    <x:row r="77">
      <x:c r="A77" s="14" t="n">
        <x:f>'Weekly Projections'!BB78</x:f>
        <x:v>40</x:v>
      </x:c>
      <x:c r="B77" s="12" t="str">
        <x:f>'Weekly Projections'!A78</x:f>
        <x:v>Tyrone Tracy Jr.</x:v>
      </x:c>
      <x:c r="C77" s="12" t="str">
        <x:f>'Weekly Projections'!B78</x:f>
        <x:v>NYG</x:v>
      </x:c>
      <x:c r="D77" s="12" t="str">
        <x:f>'Weekly Projections'!C78</x:f>
        <x:v>RB</x:v>
      </x:c>
      <x:c r="E77" s="12" t="str">
        <x:f>'Weekly Projections'!D78</x:f>
        <x:v>TEN</x:v>
      </x:c>
      <x:c r="F77" s="13" t="n">
        <x:f>'Weekly Projections'!AW78</x:f>
        <x:v>6.1842884210526305</x:v>
      </x:c>
      <x:c r="G77" s="13" t="n">
        <x:f>'Weekly Projections'!AX78</x:f>
        <x:v>3.5868872842105253</x:v>
      </x:c>
      <x:c r="H77" s="13" t="n">
        <x:f>'Weekly Projections'!AY78</x:f>
        <x:v>8.967218210526314</x:v>
      </x:c>
      <x:c r="I77" s="12" t="str">
        <x:f>'Weekly Projections'!H78</x:f>
        <x:v>ACTIVE</x:v>
      </x:c>
      <x:c r="J77" s="12" t="str">
        <x:f>'Weekly Projections'!AZ78</x:f>
        <x:v>Moderate</x:v>
      </x:c>
      <x:c r="K77" s="12" t="n">
        <x:f>'Weekly Projections'!BA78</x:f>
        <x:v>5</x:v>
      </x:c>
      <x:c r="L77" s="12" t="n">
        <x:f>'Weekly Projections'!BC78</x:f>
        <x:v>41</x:v>
      </x:c>
      <x:c r="M77" s="12" t="str">
        <x:f>'Weekly Projections'!BD78</x:f>
        <x:v>↑</x:v>
      </x:c>
    </x:row>
    <x:row r="78">
      <x:c r="A78" s="14" t="n">
        <x:f>'Weekly Projections'!BB79</x:f>
        <x:v>41</x:v>
      </x:c>
      <x:c r="B78" s="12" t="str">
        <x:f>'Weekly Projections'!A79</x:f>
        <x:v>Tank Bigsby</x:v>
      </x:c>
      <x:c r="C78" s="12" t="str">
        <x:f>'Weekly Projections'!B79</x:f>
        <x:v>PHI</x:v>
      </x:c>
      <x:c r="D78" s="12" t="str">
        <x:f>'Weekly Projections'!C79</x:f>
        <x:v>RB</x:v>
      </x:c>
      <x:c r="E78" s="12" t="str">
        <x:f>'Weekly Projections'!D79</x:f>
        <x:v>CHI</x:v>
      </x:c>
      <x:c r="F78" s="13" t="n">
        <x:f>'Weekly Projections'!AW79</x:f>
        <x:v>6.1659060728744945</x:v>
      </x:c>
      <x:c r="G78" s="13" t="n">
        <x:f>'Weekly Projections'!AX79</x:f>
        <x:v>3.576225522267207</x:v>
      </x:c>
      <x:c r="H78" s="13" t="n">
        <x:f>'Weekly Projections'!AY79</x:f>
        <x:v>8.940563805668017</x:v>
      </x:c>
      <x:c r="I78" s="12" t="str">
        <x:f>'Weekly Projections'!H79</x:f>
        <x:v>ACTIVE</x:v>
      </x:c>
      <x:c r="J78" s="12" t="str">
        <x:f>'Weekly Projections'!AZ79</x:f>
        <x:v>High</x:v>
      </x:c>
      <x:c r="K78" s="12" t="n">
        <x:f>'Weekly Projections'!BA79</x:f>
        <x:v>5</x:v>
      </x:c>
      <x:c r="L78" s="12" t="n">
        <x:f>'Weekly Projections'!BC79</x:f>
        <x:v>42</x:v>
      </x:c>
      <x:c r="M78" s="12" t="str">
        <x:f>'Weekly Projections'!BD79</x:f>
        <x:v>↑</x:v>
      </x:c>
    </x:row>
    <x:row r="79">
      <x:c r="A79" s="14" t="n">
        <x:f>'Weekly Projections'!BB80</x:f>
        <x:v>42</x:v>
      </x:c>
      <x:c r="B79" s="12" t="str">
        <x:f>'Weekly Projections'!A80</x:f>
        <x:v>Woody Marks</x:v>
      </x:c>
      <x:c r="C79" s="12" t="str">
        <x:f>'Weekly Projections'!B80</x:f>
        <x:v>HOU</x:v>
      </x:c>
      <x:c r="D79" s="12" t="str">
        <x:f>'Weekly Projections'!C80</x:f>
        <x:v>RB</x:v>
      </x:c>
      <x:c r="E79" s="12" t="str">
        <x:f>'Weekly Projections'!D80</x:f>
        <x:v>IND</x:v>
      </x:c>
      <x:c r="F79" s="13" t="n">
        <x:f>'Weekly Projections'!AW80</x:f>
        <x:v>6.144777327935223</x:v>
      </x:c>
      <x:c r="G79" s="13" t="n">
        <x:f>'Weekly Projections'!AX80</x:f>
        <x:v>3.563970850202429</x:v>
      </x:c>
      <x:c r="H79" s="13" t="n">
        <x:f>'Weekly Projections'!AY80</x:f>
        <x:v>8.909927125506073</x:v>
      </x:c>
      <x:c r="I79" s="12" t="str">
        <x:f>'Weekly Projections'!H80</x:f>
        <x:v>ACTIVE</x:v>
      </x:c>
      <x:c r="J79" s="12" t="str">
        <x:f>'Weekly Projections'!AZ80</x:f>
        <x:v>High</x:v>
      </x:c>
      <x:c r="K79" s="12" t="n">
        <x:f>'Weekly Projections'!BA80</x:f>
        <x:v>5</x:v>
      </x:c>
      <x:c r="L79" s="12" t="n">
        <x:f>'Weekly Projections'!BC80</x:f>
        <x:v>43</x:v>
      </x:c>
      <x:c r="M79" s="12" t="str">
        <x:f>'Weekly Projections'!BD80</x:f>
        <x:v>↑</x:v>
      </x:c>
    </x:row>
    <x:row r="80">
      <x:c r="A80" s="14" t="n">
        <x:f>'Weekly Projections'!BB81</x:f>
        <x:v>43</x:v>
      </x:c>
      <x:c r="B80" s="12" t="str">
        <x:f>'Weekly Projections'!A81</x:f>
        <x:v>Kaelon Black</x:v>
      </x:c>
      <x:c r="C80" s="12" t="str">
        <x:f>'Weekly Projections'!B81</x:f>
        <x:v>SF</x:v>
      </x:c>
      <x:c r="D80" s="12" t="str">
        <x:f>'Weekly Projections'!C81</x:f>
        <x:v>RB</x:v>
      </x:c>
      <x:c r="E80" s="12" t="str">
        <x:f>'Weekly Projections'!D81</x:f>
        <x:v>ARI</x:v>
      </x:c>
      <x:c r="F80" s="13" t="n">
        <x:f>'Weekly Projections'!AW81</x:f>
        <x:v>6.106882591093118</x:v>
      </x:c>
      <x:c r="G80" s="13" t="n">
        <x:f>'Weekly Projections'!AX81</x:f>
        <x:v>3.5419919028340083</x:v>
      </x:c>
      <x:c r="H80" s="13" t="n">
        <x:f>'Weekly Projections'!AY81</x:f>
        <x:v>8.85497975708502</x:v>
      </x:c>
      <x:c r="I80" s="12" t="str">
        <x:f>'Weekly Projections'!H81</x:f>
        <x:v>ACTIVE</x:v>
      </x:c>
      <x:c r="J80" s="12" t="str">
        <x:f>'Weekly Projections'!AZ81</x:f>
        <x:v>High</x:v>
      </x:c>
      <x:c r="K80" s="12" t="n">
        <x:f>'Weekly Projections'!BA81</x:f>
        <x:v>5</x:v>
      </x:c>
      <x:c r="L80" s="12" t="n">
        <x:f>'Weekly Projections'!BC81</x:f>
        <x:v>44</x:v>
      </x:c>
      <x:c r="M80" s="12" t="str">
        <x:f>'Weekly Projections'!BD81</x:f>
        <x:v>↑</x:v>
      </x:c>
    </x:row>
    <x:row r="81">
      <x:c r="A81" s="14" t="n">
        <x:f>'Weekly Projections'!BB82</x:f>
        <x:v>44</x:v>
      </x:c>
      <x:c r="B81" s="12" t="str">
        <x:f>'Weekly Projections'!A82</x:f>
        <x:v>Tyjae Spears</x:v>
      </x:c>
      <x:c r="C81" s="12" t="str">
        <x:f>'Weekly Projections'!B82</x:f>
        <x:v>TEN</x:v>
      </x:c>
      <x:c r="D81" s="12" t="str">
        <x:f>'Weekly Projections'!C82</x:f>
        <x:v>RB</x:v>
      </x:c>
      <x:c r="E81" s="12" t="str">
        <x:f>'Weekly Projections'!D82</x:f>
        <x:v>NYG</x:v>
      </x:c>
      <x:c r="F81" s="13" t="n">
        <x:f>'Weekly Projections'!AW82</x:f>
        <x:v>6.039148178137653</x:v>
      </x:c>
      <x:c r="G81" s="13" t="n">
        <x:f>'Weekly Projections'!AX82</x:f>
        <x:v>3.5027059433198384</x:v>
      </x:c>
      <x:c r="H81" s="13" t="n">
        <x:f>'Weekly Projections'!AY82</x:f>
        <x:v>8.756764858299597</x:v>
      </x:c>
      <x:c r="I81" s="12" t="str">
        <x:f>'Weekly Projections'!H82</x:f>
        <x:v>ACTIVE</x:v>
      </x:c>
      <x:c r="J81" s="12" t="str">
        <x:f>'Weekly Projections'!AZ82</x:f>
        <x:v>High</x:v>
      </x:c>
      <x:c r="K81" s="12" t="n">
        <x:f>'Weekly Projections'!BA82</x:f>
        <x:v>5</x:v>
      </x:c>
      <x:c r="L81" s="12" t="n">
        <x:f>'Weekly Projections'!BC82</x:f>
        <x:v>45</x:v>
      </x:c>
      <x:c r="M81" s="12" t="str">
        <x:f>'Weekly Projections'!BD82</x:f>
        <x:v>↑</x:v>
      </x:c>
    </x:row>
    <x:row r="82">
      <x:c r="A82" s="14" t="n">
        <x:f>'Weekly Projections'!BB83</x:f>
        <x:v>45</x:v>
      </x:c>
      <x:c r="B82" s="12" t="str">
        <x:f>'Weekly Projections'!A83</x:f>
        <x:v>Jonah Coleman</x:v>
      </x:c>
      <x:c r="C82" s="12" t="str">
        <x:f>'Weekly Projections'!B83</x:f>
        <x:v>DEN</x:v>
      </x:c>
      <x:c r="D82" s="12" t="str">
        <x:f>'Weekly Projections'!C83</x:f>
        <x:v>RB</x:v>
      </x:c>
      <x:c r="E82" s="12" t="str">
        <x:f>'Weekly Projections'!D83</x:f>
        <x:v>LAR</x:v>
      </x:c>
      <x:c r="F82" s="13" t="n">
        <x:f>'Weekly Projections'!AW83</x:f>
        <x:v>6.03433198380567</x:v>
      </x:c>
      <x:c r="G82" s="13" t="n">
        <x:f>'Weekly Projections'!AX83</x:f>
        <x:v>3.4999125506072883</x:v>
      </x:c>
      <x:c r="H82" s="13" t="n">
        <x:f>'Weekly Projections'!AY83</x:f>
        <x:v>8.749781376518222</x:v>
      </x:c>
      <x:c r="I82" s="12" t="str">
        <x:f>'Weekly Projections'!H83</x:f>
        <x:v>ACTIVE</x:v>
      </x:c>
      <x:c r="J82" s="12" t="str">
        <x:f>'Weekly Projections'!AZ83</x:f>
        <x:v>High</x:v>
      </x:c>
      <x:c r="K82" s="12" t="n">
        <x:f>'Weekly Projections'!BA83</x:f>
        <x:v>5</x:v>
      </x:c>
      <x:c r="L82" s="12" t="n">
        <x:f>'Weekly Projections'!BC83</x:f>
        <x:v>46</x:v>
      </x:c>
      <x:c r="M82" s="12" t="str">
        <x:f>'Weekly Projections'!BD83</x:f>
        <x:v>↑</x:v>
      </x:c>
    </x:row>
    <x:row r="83">
      <x:c r="A83" s="14" t="n">
        <x:f>'Weekly Projections'!BB85</x:f>
        <x:v>46</x:v>
      </x:c>
      <x:c r="B83" s="12" t="str">
        <x:f>'Weekly Projections'!A85</x:f>
        <x:v>Rachaad White</x:v>
      </x:c>
      <x:c r="C83" s="12" t="str">
        <x:f>'Weekly Projections'!B85</x:f>
        <x:v>WAS</x:v>
      </x:c>
      <x:c r="D83" s="12" t="str">
        <x:f>'Weekly Projections'!C85</x:f>
        <x:v>RB</x:v>
      </x:c>
      <x:c r="E83" s="12" t="str">
        <x:f>'Weekly Projections'!D85</x:f>
        <x:v>SEA</x:v>
      </x:c>
      <x:c r="F83" s="13" t="n">
        <x:f>'Weekly Projections'!AW85</x:f>
        <x:v>5.8843020242914985</x:v>
      </x:c>
      <x:c r="G83" s="13" t="n">
        <x:f>'Weekly Projections'!AX85</x:f>
        <x:v>3.4128951740890687</x:v>
      </x:c>
      <x:c r="H83" s="13" t="n">
        <x:f>'Weekly Projections'!AY85</x:f>
        <x:v>8.532237935222673</x:v>
      </x:c>
      <x:c r="I83" s="12" t="str">
        <x:f>'Weekly Projections'!H85</x:f>
        <x:v>ACTIVE</x:v>
      </x:c>
      <x:c r="J83" s="12" t="str">
        <x:f>'Weekly Projections'!AZ85</x:f>
        <x:v>High</x:v>
      </x:c>
      <x:c r="K83" s="12" t="n">
        <x:f>'Weekly Projections'!BA85</x:f>
        <x:v>5</x:v>
      </x:c>
      <x:c r="L83" s="12" t="n">
        <x:f>'Weekly Projections'!BC85</x:f>
        <x:v>47</x:v>
      </x:c>
      <x:c r="M83" s="12" t="str">
        <x:f>'Weekly Projections'!BD85</x:f>
        <x:v>↑</x:v>
      </x:c>
    </x:row>
    <x:row r="84">
      <x:c r="A84" s="14" t="n">
        <x:f>'Weekly Projections'!BB99</x:f>
        <x:v>47</x:v>
      </x:c>
      <x:c r="B84" s="12" t="str">
        <x:f>'Weekly Projections'!A99</x:f>
        <x:v>Kaleb Johnson</x:v>
      </x:c>
      <x:c r="C84" s="12" t="str">
        <x:f>'Weekly Projections'!B99</x:f>
        <x:v>GB</x:v>
      </x:c>
      <x:c r="D84" s="12" t="str">
        <x:f>'Weekly Projections'!C99</x:f>
        <x:v>RB</x:v>
      </x:c>
      <x:c r="E84" s="12" t="str">
        <x:f>'Weekly Projections'!D99</x:f>
        <x:v>ATL</x:v>
      </x:c>
      <x:c r="F84" s="13" t="n">
        <x:f>'Weekly Projections'!AW99</x:f>
        <x:v>5.82</x:v>
      </x:c>
      <x:c r="G84" s="13" t="n">
        <x:f>'Weekly Projections'!AX99</x:f>
        <x:v>3.3756</x:v>
      </x:c>
      <x:c r="H84" s="13" t="n">
        <x:f>'Weekly Projections'!AY99</x:f>
        <x:v>8.439</x:v>
      </x:c>
      <x:c r="I84" s="12" t="str">
        <x:f>'Weekly Projections'!H99</x:f>
        <x:v>ACTIVE</x:v>
      </x:c>
      <x:c r="J84" s="12" t="str">
        <x:f>'Weekly Projections'!AZ99</x:f>
        <x:v>Low</x:v>
      </x:c>
      <x:c r="K84" s="12" t="n">
        <x:f>'Weekly Projections'!BA99</x:f>
        <x:v>7</x:v>
      </x:c>
      <x:c r="L84" s="12" t="n">
        <x:f>'Weekly Projections'!BC99</x:f>
        <x:v>59</x:v>
      </x:c>
      <x:c r="M84" s="12" t="str">
        <x:f>'Weekly Projections'!BD99</x:f>
        <x:v>↑</x:v>
      </x:c>
    </x:row>
    <x:row r="85">
      <x:c r="A85" s="14" t="n">
        <x:f>'Weekly Projections'!BB86</x:f>
        <x:v>48</x:v>
      </x:c>
      <x:c r="B85" s="12" t="str">
        <x:f>'Weekly Projections'!A86</x:f>
        <x:v>Blake Corum</x:v>
      </x:c>
      <x:c r="C85" s="12" t="str">
        <x:f>'Weekly Projections'!B86</x:f>
        <x:v>LAR</x:v>
      </x:c>
      <x:c r="D85" s="12" t="str">
        <x:f>'Weekly Projections'!C86</x:f>
        <x:v>RB</x:v>
      </x:c>
      <x:c r="E85" s="12" t="str">
        <x:f>'Weekly Projections'!D86</x:f>
        <x:v>DEN</x:v>
      </x:c>
      <x:c r="F85" s="13" t="n">
        <x:f>'Weekly Projections'!AW86</x:f>
        <x:v>5.67876194331984</x:v>
      </x:c>
      <x:c r="G85" s="13" t="n">
        <x:f>'Weekly Projections'!AX86</x:f>
        <x:v>3.293681927125507</x:v>
      </x:c>
      <x:c r="H85" s="13" t="n">
        <x:f>'Weekly Projections'!AY86</x:f>
        <x:v>8.234204817813767</x:v>
      </x:c>
      <x:c r="I85" s="12" t="str">
        <x:f>'Weekly Projections'!H86</x:f>
        <x:v>ACTIVE</x:v>
      </x:c>
      <x:c r="J85" s="12" t="str">
        <x:f>'Weekly Projections'!AZ86</x:f>
        <x:v>High</x:v>
      </x:c>
      <x:c r="K85" s="12" t="n">
        <x:f>'Weekly Projections'!BA86</x:f>
        <x:v>5</x:v>
      </x:c>
      <x:c r="L85" s="12" t="n">
        <x:f>'Weekly Projections'!BC86</x:f>
        <x:v>48</x:v>
      </x:c>
      <x:c r="M85" s="12" t="str">
        <x:f>'Weekly Projections'!BD86</x:f>
        <x:v>→</x:v>
      </x:c>
    </x:row>
    <x:row r="86">
      <x:c r="A86" s="14" t="n">
        <x:f>'Weekly Projections'!BB87</x:f>
        <x:v>49</x:v>
      </x:c>
      <x:c r="B86" s="12" t="str">
        <x:f>'Weekly Projections'!A87</x:f>
        <x:v>Tyler Allgeier</x:v>
      </x:c>
      <x:c r="C86" s="12" t="str">
        <x:f>'Weekly Projections'!B87</x:f>
        <x:v>ARI</x:v>
      </x:c>
      <x:c r="D86" s="12" t="str">
        <x:f>'Weekly Projections'!C87</x:f>
        <x:v>RB</x:v>
      </x:c>
      <x:c r="E86" s="12" t="str">
        <x:f>'Weekly Projections'!D87</x:f>
        <x:v>SF</x:v>
      </x:c>
      <x:c r="F86" s="13" t="n">
        <x:f>'Weekly Projections'!AW87</x:f>
        <x:v>5.5846963562753045</x:v>
      </x:c>
      <x:c r="G86" s="13" t="n">
        <x:f>'Weekly Projections'!AX87</x:f>
        <x:v>3.2391238866396765</x:v>
      </x:c>
      <x:c r="H86" s="13" t="n">
        <x:f>'Weekly Projections'!AY87</x:f>
        <x:v>8.09780971659919</x:v>
      </x:c>
      <x:c r="I86" s="12" t="str">
        <x:f>'Weekly Projections'!H87</x:f>
        <x:v>ACTIVE</x:v>
      </x:c>
      <x:c r="J86" s="12" t="str">
        <x:f>'Weekly Projections'!AZ87</x:f>
        <x:v>High</x:v>
      </x:c>
      <x:c r="K86" s="12" t="n">
        <x:f>'Weekly Projections'!BA87</x:f>
        <x:v>6</x:v>
      </x:c>
      <x:c r="L86" s="12" t="n">
        <x:f>'Weekly Projections'!BC87</x:f>
        <x:v>49</x:v>
      </x:c>
      <x:c r="M86" s="12" t="str">
        <x:f>'Weekly Projections'!BD87</x:f>
        <x:v>→</x:v>
      </x:c>
    </x:row>
    <x:row r="87">
      <x:c r="A87" s="14" t="n">
        <x:f>'Weekly Projections'!BB88</x:f>
        <x:v>50</x:v>
      </x:c>
      <x:c r="B87" s="12" t="str">
        <x:f>'Weekly Projections'!A88</x:f>
        <x:v>Nicholas Singleton</x:v>
      </x:c>
      <x:c r="C87" s="12" t="str">
        <x:f>'Weekly Projections'!B88</x:f>
        <x:v>TEN</x:v>
      </x:c>
      <x:c r="D87" s="12" t="str">
        <x:f>'Weekly Projections'!C88</x:f>
        <x:v>RB</x:v>
      </x:c>
      <x:c r="E87" s="12" t="str">
        <x:f>'Weekly Projections'!D88</x:f>
        <x:v>NYG</x:v>
      </x:c>
      <x:c r="F87" s="13" t="n">
        <x:f>'Weekly Projections'!AW88</x:f>
        <x:v>5.445133603238866</x:v>
      </x:c>
      <x:c r="G87" s="13" t="n">
        <x:f>'Weekly Projections'!AX88</x:f>
        <x:v>3.158177489878542</x:v>
      </x:c>
      <x:c r="H87" s="13" t="n">
        <x:f>'Weekly Projections'!AY88</x:f>
        <x:v>7.895443724696356</x:v>
      </x:c>
      <x:c r="I87" s="12" t="str">
        <x:f>'Weekly Projections'!H88</x:f>
        <x:v>ACTIVE</x:v>
      </x:c>
      <x:c r="J87" s="12" t="str">
        <x:f>'Weekly Projections'!AZ88</x:f>
        <x:v>High</x:v>
      </x:c>
      <x:c r="K87" s="12" t="n">
        <x:f>'Weekly Projections'!BA88</x:f>
        <x:v>6</x:v>
      </x:c>
      <x:c r="L87" s="12" t="n">
        <x:f>'Weekly Projections'!BC88</x:f>
        <x:v>50</x:v>
      </x:c>
      <x:c r="M87" s="12" t="str">
        <x:f>'Weekly Projections'!BD88</x:f>
        <x:v>→</x:v>
      </x:c>
    </x:row>
    <x:row r="88">
      <x:c r="A88" s="14" t="n">
        <x:f>'Weekly Projections'!BB89</x:f>
        <x:v>51</x:v>
      </x:c>
      <x:c r="B88" s="12" t="str">
        <x:f>'Weekly Projections'!A89</x:f>
        <x:v>Ray Davis</x:v>
      </x:c>
      <x:c r="C88" s="12" t="str">
        <x:f>'Weekly Projections'!B89</x:f>
        <x:v>BUF</x:v>
      </x:c>
      <x:c r="D88" s="12" t="str">
        <x:f>'Weekly Projections'!C89</x:f>
        <x:v>RB</x:v>
      </x:c>
      <x:c r="E88" s="12" t="str">
        <x:f>'Weekly Projections'!D89</x:f>
        <x:v>LAC</x:v>
      </x:c>
      <x:c r="F88" s="13" t="n">
        <x:f>'Weekly Projections'!AW89</x:f>
        <x:v>5.2817004048583</x:v>
      </x:c>
      <x:c r="G88" s="13" t="n">
        <x:f>'Weekly Projections'!AX89</x:f>
        <x:v>3.0633862348178136</x:v>
      </x:c>
      <x:c r="H88" s="13" t="n">
        <x:f>'Weekly Projections'!AY89</x:f>
        <x:v>7.658465587044534</x:v>
      </x:c>
      <x:c r="I88" s="12" t="str">
        <x:f>'Weekly Projections'!H89</x:f>
        <x:v>ACTIVE</x:v>
      </x:c>
      <x:c r="J88" s="12" t="str">
        <x:f>'Weekly Projections'!AZ89</x:f>
        <x:v>High</x:v>
      </x:c>
      <x:c r="K88" s="12" t="n">
        <x:f>'Weekly Projections'!BA89</x:f>
        <x:v>6</x:v>
      </x:c>
      <x:c r="L88" s="12" t="n">
        <x:f>'Weekly Projections'!BC89</x:f>
        <x:v>51</x:v>
      </x:c>
      <x:c r="M88" s="12" t="str">
        <x:f>'Weekly Projections'!BD89</x:f>
        <x:v>→</x:v>
      </x:c>
    </x:row>
    <x:row r="89">
      <x:c r="A89" s="14" t="n">
        <x:f>'Weekly Projections'!BB71</x:f>
        <x:v>52</x:v>
      </x:c>
      <x:c r="B89" s="12" t="str">
        <x:f>'Weekly Projections'!A71</x:f>
        <x:v>MarShawn Lloyd</x:v>
      </x:c>
      <x:c r="C89" s="12" t="str">
        <x:f>'Weekly Projections'!B71</x:f>
        <x:v>GB</x:v>
      </x:c>
      <x:c r="D89" s="12" t="str">
        <x:f>'Weekly Projections'!C71</x:f>
        <x:v>RB</x:v>
      </x:c>
      <x:c r="E89" s="12" t="str">
        <x:f>'Weekly Projections'!D71</x:f>
        <x:v>ATL</x:v>
      </x:c>
      <x:c r="F89" s="13" t="n">
        <x:f>'Weekly Projections'!AW71</x:f>
        <x:v>5.1</x:v>
      </x:c>
      <x:c r="G89" s="13" t="n">
        <x:f>'Weekly Projections'!AX71</x:f>
        <x:v>2.9579999999999997</x:v>
      </x:c>
      <x:c r="H89" s="13" t="n">
        <x:f>'Weekly Projections'!AY71</x:f>
        <x:v>7.395</x:v>
      </x:c>
      <x:c r="I89" s="12" t="str">
        <x:f>'Weekly Projections'!H71</x:f>
        <x:v>ACTIVE</x:v>
      </x:c>
      <x:c r="J89" s="12" t="str">
        <x:f>'Weekly Projections'!AZ71</x:f>
        <x:v>Low</x:v>
      </x:c>
      <x:c r="K89" s="12" t="n">
        <x:f>'Weekly Projections'!BA71</x:f>
        <x:v>4</x:v>
      </x:c>
      <x:c r="L89" s="12" t="n">
        <x:f>'Weekly Projections'!BC71</x:f>
        <x:v>31</x:v>
      </x:c>
      <x:c r="M89" s="12" t="str">
        <x:f>'Weekly Projections'!BD71</x:f>
        <x:v>↓</x:v>
      </x:c>
    </x:row>
    <x:row r="90">
      <x:c r="A90" s="14" t="n">
        <x:f>'Weekly Projections'!BB90</x:f>
        <x:v>53</x:v>
      </x:c>
      <x:c r="B90" s="12" t="str">
        <x:f>'Weekly Projections'!A90</x:f>
        <x:v>Brian Robinson Jr.</x:v>
      </x:c>
      <x:c r="C90" s="12" t="str">
        <x:f>'Weekly Projections'!B90</x:f>
        <x:v>ATL</x:v>
      </x:c>
      <x:c r="D90" s="12" t="str">
        <x:f>'Weekly Projections'!C90</x:f>
        <x:v>RB</x:v>
      </x:c>
      <x:c r="E90" s="12" t="str">
        <x:f>'Weekly Projections'!D90</x:f>
        <x:v>GB</x:v>
      </x:c>
      <x:c r="F90" s="13" t="n">
        <x:f>'Weekly Projections'!AW90</x:f>
        <x:v>4.926273684210526</x:v>
      </x:c>
      <x:c r="G90" s="13" t="n">
        <x:f>'Weekly Projections'!AX90</x:f>
        <x:v>2.857238736842105</x:v>
      </x:c>
      <x:c r="H90" s="13" t="n">
        <x:f>'Weekly Projections'!AY90</x:f>
        <x:v>7.143096842105262</x:v>
      </x:c>
      <x:c r="I90" s="12" t="str">
        <x:f>'Weekly Projections'!H90</x:f>
        <x:v>ACTIVE</x:v>
      </x:c>
      <x:c r="J90" s="12" t="str">
        <x:f>'Weekly Projections'!AZ90</x:f>
        <x:v>High</x:v>
      </x:c>
      <x:c r="K90" s="12" t="n">
        <x:f>'Weekly Projections'!BA90</x:f>
        <x:v>6</x:v>
      </x:c>
      <x:c r="L90" s="12" t="n">
        <x:f>'Weekly Projections'!BC90</x:f>
        <x:v>52</x:v>
      </x:c>
      <x:c r="M90" s="12" t="str">
        <x:f>'Weekly Projections'!BD90</x:f>
        <x:v>↓</x:v>
      </x:c>
    </x:row>
    <x:row r="91">
      <x:c r="A91" s="14" t="n">
        <x:f>'Weekly Projections'!BB91</x:f>
        <x:v>54</x:v>
      </x:c>
      <x:c r="B91" s="12" t="str">
        <x:f>'Weekly Projections'!A91</x:f>
        <x:v>Kaytron Allen</x:v>
      </x:c>
      <x:c r="C91" s="12" t="str">
        <x:f>'Weekly Projections'!B91</x:f>
        <x:v>WAS</x:v>
      </x:c>
      <x:c r="D91" s="12" t="str">
        <x:f>'Weekly Projections'!C91</x:f>
        <x:v>RB</x:v>
      </x:c>
      <x:c r="E91" s="12" t="str">
        <x:f>'Weekly Projections'!D91</x:f>
        <x:v>SEA</x:v>
      </x:c>
      <x:c r="F91" s="13" t="n">
        <x:f>'Weekly Projections'!AW91</x:f>
        <x:v>4.919662348178137</x:v>
      </x:c>
      <x:c r="G91" s="13" t="n">
        <x:f>'Weekly Projections'!AX91</x:f>
        <x:v>2.853404161943319</x:v>
      </x:c>
      <x:c r="H91" s="13" t="n">
        <x:f>'Weekly Projections'!AY91</x:f>
        <x:v>7.133510404858298</x:v>
      </x:c>
      <x:c r="I91" s="12" t="str">
        <x:f>'Weekly Projections'!H91</x:f>
        <x:v>ACTIVE</x:v>
      </x:c>
      <x:c r="J91" s="12" t="str">
        <x:f>'Weekly Projections'!AZ91</x:f>
        <x:v>High</x:v>
      </x:c>
      <x:c r="K91" s="12" t="n">
        <x:f>'Weekly Projections'!BA91</x:f>
        <x:v>6</x:v>
      </x:c>
      <x:c r="L91" s="12" t="n">
        <x:f>'Weekly Projections'!BC91</x:f>
        <x:v>53</x:v>
      </x:c>
      <x:c r="M91" s="12" t="str">
        <x:f>'Weekly Projections'!BD91</x:f>
        <x:v>↓</x:v>
      </x:c>
    </x:row>
    <x:row r="92">
      <x:c r="A92" s="14" t="n">
        <x:f>'Weekly Projections'!BB92</x:f>
        <x:v>55</x:v>
      </x:c>
      <x:c r="B92" s="12" t="str">
        <x:f>'Weekly Projections'!A92</x:f>
        <x:v>Alvin Kamara</x:v>
      </x:c>
      <x:c r="C92" s="12" t="str">
        <x:f>'Weekly Projections'!B92</x:f>
        <x:v>NO</x:v>
      </x:c>
      <x:c r="D92" s="12" t="str">
        <x:f>'Weekly Projections'!C92</x:f>
        <x:v>RB</x:v>
      </x:c>
      <x:c r="E92" s="12" t="str">
        <x:f>'Weekly Projections'!D92</x:f>
        <x:v>LV</x:v>
      </x:c>
      <x:c r="F92" s="13" t="n">
        <x:f>'Weekly Projections'!AW92</x:f>
        <x:v>4.856356275303644</x:v>
      </x:c>
      <x:c r="G92" s="13" t="n">
        <x:f>'Weekly Projections'!AX92</x:f>
        <x:v>2.816686639676113</x:v>
      </x:c>
      <x:c r="H92" s="13" t="n">
        <x:f>'Weekly Projections'!AY92</x:f>
        <x:v>7.041716599190283</x:v>
      </x:c>
      <x:c r="I92" s="12" t="str">
        <x:f>'Weekly Projections'!H92</x:f>
        <x:v>ACTIVE</x:v>
      </x:c>
      <x:c r="J92" s="12" t="str">
        <x:f>'Weekly Projections'!AZ92</x:f>
        <x:v>High</x:v>
      </x:c>
      <x:c r="K92" s="12" t="n">
        <x:f>'Weekly Projections'!BA92</x:f>
        <x:v>6</x:v>
      </x:c>
      <x:c r="L92" s="12" t="n">
        <x:f>'Weekly Projections'!BC92</x:f>
        <x:v>54</x:v>
      </x:c>
      <x:c r="M92" s="12" t="str">
        <x:f>'Weekly Projections'!BD92</x:f>
        <x:v>↓</x:v>
      </x:c>
    </x:row>
    <x:row r="93">
      <x:c r="A93" s="14" t="n">
        <x:f>'Weekly Projections'!BB93</x:f>
        <x:v>56</x:v>
      </x:c>
      <x:c r="B93" s="12" t="str">
        <x:f>'Weekly Projections'!A93</x:f>
        <x:v>George Holani</x:v>
      </x:c>
      <x:c r="C93" s="12" t="str">
        <x:f>'Weekly Projections'!B93</x:f>
        <x:v>SEA</x:v>
      </x:c>
      <x:c r="D93" s="12" t="str">
        <x:f>'Weekly Projections'!C93</x:f>
        <x:v>RB</x:v>
      </x:c>
      <x:c r="E93" s="12" t="str">
        <x:f>'Weekly Projections'!D93</x:f>
        <x:v>WAS</x:v>
      </x:c>
      <x:c r="F93" s="13" t="n">
        <x:f>'Weekly Projections'!AW93</x:f>
        <x:v>4.8</x:v>
      </x:c>
      <x:c r="G93" s="13" t="n">
        <x:f>'Weekly Projections'!AX93</x:f>
        <x:v>2.784</x:v>
      </x:c>
      <x:c r="H93" s="13" t="n">
        <x:f>'Weekly Projections'!AY93</x:f>
        <x:v>6.96</x:v>
      </x:c>
      <x:c r="I93" s="12" t="str">
        <x:f>'Weekly Projections'!H93</x:f>
        <x:v>ACTIVE</x:v>
      </x:c>
      <x:c r="J93" s="12" t="str">
        <x:f>'Weekly Projections'!AZ93</x:f>
        <x:v>High</x:v>
      </x:c>
      <x:c r="K93" s="12" t="n">
        <x:f>'Weekly Projections'!BA93</x:f>
        <x:v>6</x:v>
      </x:c>
      <x:c r="L93" s="12" t="n">
        <x:f>'Weekly Projections'!BC93</x:f>
        <x:v>55</x:v>
      </x:c>
      <x:c r="M93" s="12" t="str">
        <x:f>'Weekly Projections'!BD93</x:f>
        <x:v>↓</x:v>
      </x:c>
    </x:row>
    <x:row r="94">
      <x:c r="A94" s="14" t="n">
        <x:f>'Weekly Projections'!BB94</x:f>
        <x:v>57</x:v>
      </x:c>
      <x:c r="B94" s="12" t="str">
        <x:f>'Weekly Projections'!A94</x:f>
        <x:v>Braelon Allen</x:v>
      </x:c>
      <x:c r="C94" s="12" t="str">
        <x:f>'Weekly Projections'!B94</x:f>
        <x:v>NYJ</x:v>
      </x:c>
      <x:c r="D94" s="12" t="str">
        <x:f>'Weekly Projections'!C94</x:f>
        <x:v>RB</x:v>
      </x:c>
      <x:c r="E94" s="12" t="str">
        <x:f>'Weekly Projections'!D94</x:f>
        <x:v>DET</x:v>
      </x:c>
      <x:c r="F94" s="13" t="n">
        <x:f>'Weekly Projections'!AW94</x:f>
        <x:v>4.671740890688259</x:v>
      </x:c>
      <x:c r="G94" s="13" t="n">
        <x:f>'Weekly Projections'!AX94</x:f>
        <x:v>2.70960971659919</x:v>
      </x:c>
      <x:c r="H94" s="13" t="n">
        <x:f>'Weekly Projections'!AY94</x:f>
        <x:v>6.774024291497975</x:v>
      </x:c>
      <x:c r="I94" s="12" t="str">
        <x:f>'Weekly Projections'!H94</x:f>
        <x:v>ACTIVE</x:v>
      </x:c>
      <x:c r="J94" s="12" t="str">
        <x:f>'Weekly Projections'!AZ94</x:f>
        <x:v>High</x:v>
      </x:c>
      <x:c r="K94" s="12" t="n">
        <x:f>'Weekly Projections'!BA94</x:f>
        <x:v>6</x:v>
      </x:c>
      <x:c r="L94" s="12" t="n">
        <x:f>'Weekly Projections'!BC94</x:f>
        <x:v>56</x:v>
      </x:c>
      <x:c r="M94" s="12" t="str">
        <x:f>'Weekly Projections'!BD94</x:f>
        <x:v>↓</x:v>
      </x:c>
    </x:row>
    <x:row r="95">
      <x:c r="A95" s="14" t="n">
        <x:f>'Weekly Projections'!BB95</x:f>
        <x:v>58</x:v>
      </x:c>
      <x:c r="B95" s="12" t="str">
        <x:f>'Weekly Projections'!A95</x:f>
        <x:v>Keaton Mitchell</x:v>
      </x:c>
      <x:c r="C95" s="12" t="str">
        <x:f>'Weekly Projections'!B95</x:f>
        <x:v>LAC</x:v>
      </x:c>
      <x:c r="D95" s="12" t="str">
        <x:f>'Weekly Projections'!C95</x:f>
        <x:v>RB</x:v>
      </x:c>
      <x:c r="E95" s="12" t="str">
        <x:f>'Weekly Projections'!D95</x:f>
        <x:v>BUF</x:v>
      </x:c>
      <x:c r="F95" s="13" t="n">
        <x:f>'Weekly Projections'!AW95</x:f>
        <x:v>4.572738461538463</x:v>
      </x:c>
      <x:c r="G95" s="13" t="n">
        <x:f>'Weekly Projections'!AX95</x:f>
        <x:v>2.6521883076923083</x:v>
      </x:c>
      <x:c r="H95" s="13" t="n">
        <x:f>'Weekly Projections'!AY95</x:f>
        <x:v>6.6304707692307705</x:v>
      </x:c>
      <x:c r="I95" s="12" t="str">
        <x:f>'Weekly Projections'!H95</x:f>
        <x:v>ACTIVE</x:v>
      </x:c>
      <x:c r="J95" s="12" t="str">
        <x:f>'Weekly Projections'!AZ95</x:f>
        <x:v>High</x:v>
      </x:c>
      <x:c r="K95" s="12" t="n">
        <x:f>'Weekly Projections'!BA95</x:f>
        <x:v>6</x:v>
      </x:c>
      <x:c r="L95" s="12" t="n">
        <x:f>'Weekly Projections'!BC95</x:f>
        <x:v>57</x:v>
      </x:c>
      <x:c r="M95" s="12" t="str">
        <x:f>'Weekly Projections'!BD95</x:f>
        <x:v>↓</x:v>
      </x:c>
    </x:row>
    <x:row r="96">
      <x:c r="A96" s="14" t="n">
        <x:f>'Weekly Projections'!BB96</x:f>
        <x:v>59</x:v>
      </x:c>
      <x:c r="B96" s="12" t="str">
        <x:f>'Weekly Projections'!A96</x:f>
        <x:v>Jaylen Wright</x:v>
      </x:c>
      <x:c r="C96" s="12" t="str">
        <x:f>'Weekly Projections'!B96</x:f>
        <x:v>MIA</x:v>
      </x:c>
      <x:c r="D96" s="12" t="str">
        <x:f>'Weekly Projections'!C96</x:f>
        <x:v>RB</x:v>
      </x:c>
      <x:c r="E96" s="12" t="str">
        <x:f>'Weekly Projections'!D96</x:f>
        <x:v>KC</x:v>
      </x:c>
      <x:c r="F96" s="13" t="n">
        <x:f>'Weekly Projections'!AW96</x:f>
        <x:v>4.50585910931174</x:v>
      </x:c>
      <x:c r="G96" s="13" t="n">
        <x:f>'Weekly Projections'!AX96</x:f>
        <x:v>2.613398283400809</x:v>
      </x:c>
      <x:c r="H96" s="13" t="n">
        <x:f>'Weekly Projections'!AY96</x:f>
        <x:v>6.533495708502023</x:v>
      </x:c>
      <x:c r="I96" s="12" t="str">
        <x:f>'Weekly Projections'!H96</x:f>
        <x:v>ACTIVE</x:v>
      </x:c>
      <x:c r="J96" s="12" t="str">
        <x:f>'Weekly Projections'!AZ96</x:f>
        <x:v>High</x:v>
      </x:c>
      <x:c r="K96" s="12" t="n">
        <x:f>'Weekly Projections'!BA96</x:f>
        <x:v>6</x:v>
      </x:c>
      <x:c r="L96" s="12" t="n">
        <x:f>'Weekly Projections'!BC96</x:f>
        <x:v>58</x:v>
      </x:c>
      <x:c r="M96" s="12" t="str">
        <x:f>'Weekly Projections'!BD96</x:f>
        <x:v>↓</x:v>
      </x:c>
    </x:row>
    <x:row r="97">
      <x:c r="A97" s="14" t="n">
        <x:f>'Weekly Projections'!BB97</x:f>
        <x:v>60</x:v>
      </x:c>
      <x:c r="B97" s="12" t="str">
        <x:f>'Weekly Projections'!A97</x:f>
        <x:v>Kimani Vidal</x:v>
      </x:c>
      <x:c r="C97" s="12" t="str">
        <x:f>'Weekly Projections'!B97</x:f>
        <x:v>LAC</x:v>
      </x:c>
      <x:c r="D97" s="12" t="str">
        <x:f>'Weekly Projections'!C97</x:f>
        <x:v>RB</x:v>
      </x:c>
      <x:c r="E97" s="12" t="str">
        <x:f>'Weekly Projections'!D97</x:f>
        <x:v>BUF</x:v>
      </x:c>
      <x:c r="F97" s="13" t="n">
        <x:f>'Weekly Projections'!AW97</x:f>
        <x:v>3.891692307692308</x:v>
      </x:c>
      <x:c r="G97" s="13" t="n">
        <x:f>'Weekly Projections'!AX97</x:f>
        <x:v>2.2571815384615386</x:v>
      </x:c>
      <x:c r="H97" s="13" t="n">
        <x:f>'Weekly Projections'!AY97</x:f>
        <x:v>5.642953846153847</x:v>
      </x:c>
      <x:c r="I97" s="12" t="str">
        <x:f>'Weekly Projections'!H97</x:f>
        <x:v>ACTIVE</x:v>
      </x:c>
      <x:c r="J97" s="12" t="str">
        <x:f>'Weekly Projections'!AZ97</x:f>
        <x:v>High</x:v>
      </x:c>
      <x:c r="K97" s="12" t="n">
        <x:f>'Weekly Projections'!BA97</x:f>
        <x:v>7</x:v>
      </x:c>
      <x:c r="L97" s="12" t="n">
        <x:f>'Weekly Projections'!BC97</x:f>
        <x:v>60</x:v>
      </x:c>
      <x:c r="M97" s="12" t="str">
        <x:f>'Weekly Projections'!BD97</x:f>
        <x:v>→</x:v>
      </x:c>
    </x:row>
    <x:row r="98">
      <x:c r="A98" s="14" t="n">
        <x:f>'Weekly Projections'!BB104</x:f>
        <x:v>61</x:v>
      </x:c>
      <x:c r="B98" s="12" t="str">
        <x:f>'Weekly Projections'!A104</x:f>
        <x:v>Chris Brooks</x:v>
      </x:c>
      <x:c r="C98" s="12" t="str">
        <x:f>'Weekly Projections'!B104</x:f>
        <x:v>GB</x:v>
      </x:c>
      <x:c r="D98" s="12" t="str">
        <x:f>'Weekly Projections'!C104</x:f>
        <x:v>RB</x:v>
      </x:c>
      <x:c r="E98" s="12" t="str">
        <x:f>'Weekly Projections'!D104</x:f>
        <x:v>ATL</x:v>
      </x:c>
      <x:c r="F98" s="13" t="n">
        <x:f>'Weekly Projections'!AW104</x:f>
        <x:v>3.86</x:v>
      </x:c>
      <x:c r="G98" s="13" t="n">
        <x:f>'Weekly Projections'!AX104</x:f>
        <x:v>2.2388</x:v>
      </x:c>
      <x:c r="H98" s="13" t="n">
        <x:f>'Weekly Projections'!AY104</x:f>
        <x:v>5.5969999999999995</x:v>
      </x:c>
      <x:c r="I98" s="12" t="str">
        <x:f>'Weekly Projections'!H104</x:f>
        <x:v>ACTIVE</x:v>
      </x:c>
      <x:c r="J98" s="12" t="str">
        <x:f>'Weekly Projections'!AZ104</x:f>
        <x:v>Low</x:v>
      </x:c>
      <x:c r="K98" s="12" t="n">
        <x:f>'Weekly Projections'!BA104</x:f>
        <x:v>7</x:v>
      </x:c>
      <x:c r="L98" s="12" t="n">
        <x:f>'Weekly Projections'!BC104</x:f>
        <x:v>64</x:v>
      </x:c>
      <x:c r="M98" s="12" t="str">
        <x:f>'Weekly Projections'!BD104</x:f>
        <x:v>↑</x:v>
      </x:c>
    </x:row>
    <x:row r="99">
      <x:c r="A99" s="14" t="n">
        <x:f>'Weekly Projections'!BB98</x:f>
        <x:v>62</x:v>
      </x:c>
      <x:c r="B99" s="12" t="str">
        <x:f>'Weekly Projections'!A98</x:f>
        <x:v>Najee Harris</x:v>
      </x:c>
      <x:c r="C99" s="12" t="str">
        <x:f>'Weekly Projections'!B98</x:f>
        <x:v>NYG</x:v>
      </x:c>
      <x:c r="D99" s="12" t="str">
        <x:f>'Weekly Projections'!C98</x:f>
        <x:v>RB</x:v>
      </x:c>
      <x:c r="E99" s="12" t="str">
        <x:f>'Weekly Projections'!D98</x:f>
        <x:v>TEN</x:v>
      </x:c>
      <x:c r="F99" s="13" t="n">
        <x:f>'Weekly Projections'!AW98</x:f>
        <x:v>3.7105730526315783</x:v>
      </x:c>
      <x:c r="G99" s="13" t="n">
        <x:f>'Weekly Projections'!AX98</x:f>
        <x:v>2.1521323705263153</x:v>
      </x:c>
      <x:c r="H99" s="13" t="n">
        <x:f>'Weekly Projections'!AY98</x:f>
        <x:v>5.380330926315788</x:v>
      </x:c>
      <x:c r="I99" s="12" t="str">
        <x:f>'Weekly Projections'!H98</x:f>
        <x:v>ACTIVE</x:v>
      </x:c>
      <x:c r="J99" s="12" t="str">
        <x:f>'Weekly Projections'!AZ98</x:f>
        <x:v>Moderate</x:v>
      </x:c>
      <x:c r="K99" s="12" t="n">
        <x:f>'Weekly Projections'!BA98</x:f>
        <x:v>7</x:v>
      </x:c>
      <x:c r="L99" s="12" t="n">
        <x:f>'Weekly Projections'!BC98</x:f>
        <x:v>61</x:v>
      </x:c>
      <x:c r="M99" s="12" t="str">
        <x:f>'Weekly Projections'!BD98</x:f>
        <x:v>↓</x:v>
      </x:c>
    </x:row>
    <x:row r="100">
      <x:c r="A100" s="14" t="n">
        <x:f>'Weekly Projections'!BB100</x:f>
        <x:v>63</x:v>
      </x:c>
      <x:c r="B100" s="12" t="str">
        <x:f>'Weekly Projections'!A100</x:f>
        <x:v>Seth McGowan</x:v>
      </x:c>
      <x:c r="C100" s="12" t="str">
        <x:f>'Weekly Projections'!B100</x:f>
        <x:v>IND</x:v>
      </x:c>
      <x:c r="D100" s="12" t="str">
        <x:f>'Weekly Projections'!C100</x:f>
        <x:v>RB</x:v>
      </x:c>
      <x:c r="E100" s="12" t="str">
        <x:f>'Weekly Projections'!D100</x:f>
        <x:v>HOU</x:v>
      </x:c>
      <x:c r="F100" s="13" t="n">
        <x:f>'Weekly Projections'!AW100</x:f>
        <x:v>3.664615384615384</x:v>
      </x:c>
      <x:c r="G100" s="13" t="n">
        <x:f>'Weekly Projections'!AX100</x:f>
        <x:v>2.1254769230769224</x:v>
      </x:c>
      <x:c r="H100" s="13" t="n">
        <x:f>'Weekly Projections'!AY100</x:f>
        <x:v>5.313692307692307</x:v>
      </x:c>
      <x:c r="I100" s="12" t="str">
        <x:f>'Weekly Projections'!H100</x:f>
        <x:v>ACTIVE</x:v>
      </x:c>
      <x:c r="J100" s="12" t="str">
        <x:f>'Weekly Projections'!AZ100</x:f>
        <x:v>High</x:v>
      </x:c>
      <x:c r="K100" s="12" t="n">
        <x:f>'Weekly Projections'!BA100</x:f>
        <x:v>7</x:v>
      </x:c>
      <x:c r="L100" s="12" t="n">
        <x:f>'Weekly Projections'!BC100</x:f>
        <x:v>62</x:v>
      </x:c>
      <x:c r="M100" s="12" t="str">
        <x:f>'Weekly Projections'!BD100</x:f>
        <x:v>↓</x:v>
      </x:c>
    </x:row>
    <x:row r="101">
      <x:c r="A101" s="14" t="n">
        <x:f>'Weekly Projections'!BB101</x:f>
        <x:v>64</x:v>
      </x:c>
      <x:c r="B101" s="12" t="str">
        <x:f>'Weekly Projections'!A101</x:f>
        <x:v>Jordan James</x:v>
      </x:c>
      <x:c r="C101" s="12" t="str">
        <x:f>'Weekly Projections'!B101</x:f>
        <x:v>SF</x:v>
      </x:c>
      <x:c r="D101" s="12" t="str">
        <x:f>'Weekly Projections'!C101</x:f>
        <x:v>RB</x:v>
      </x:c>
      <x:c r="E101" s="12" t="str">
        <x:f>'Weekly Projections'!D101</x:f>
        <x:v>ARI</x:v>
      </x:c>
      <x:c r="F101" s="13" t="n">
        <x:f>'Weekly Projections'!AW101</x:f>
        <x:v>3.358785425101214</x:v>
      </x:c>
      <x:c r="G101" s="13" t="n">
        <x:f>'Weekly Projections'!AX101</x:f>
        <x:v>1.948095546558704</x:v>
      </x:c>
      <x:c r="H101" s="13" t="n">
        <x:f>'Weekly Projections'!AY101</x:f>
        <x:v>4.87023886639676</x:v>
      </x:c>
      <x:c r="I101" s="12" t="str">
        <x:f>'Weekly Projections'!H101</x:f>
        <x:v>ACTIVE</x:v>
      </x:c>
      <x:c r="J101" s="12" t="str">
        <x:f>'Weekly Projections'!AZ101</x:f>
        <x:v>High</x:v>
      </x:c>
      <x:c r="K101" s="12" t="n">
        <x:f>'Weekly Projections'!BA101</x:f>
        <x:v>7</x:v>
      </x:c>
      <x:c r="L101" s="12" t="n">
        <x:f>'Weekly Projections'!BC101</x:f>
        <x:v>63</x:v>
      </x:c>
      <x:c r="M101" s="12" t="str">
        <x:f>'Weekly Projections'!BD101</x:f>
        <x:v>↓</x:v>
      </x:c>
    </x:row>
    <x:row r="102">
      <x:c r="A102" s="14" t="n">
        <x:f>'Weekly Projections'!BB102</x:f>
        <x:v>65</x:v>
      </x:c>
      <x:c r="B102" s="12" t="str">
        <x:f>'Weekly Projections'!A102</x:f>
        <x:v>Sean Tucker</x:v>
      </x:c>
      <x:c r="C102" s="12" t="str">
        <x:f>'Weekly Projections'!B102</x:f>
        <x:v>TB</x:v>
      </x:c>
      <x:c r="D102" s="12" t="str">
        <x:f>'Weekly Projections'!C102</x:f>
        <x:v>RB</x:v>
      </x:c>
      <x:c r="E102" s="12" t="str">
        <x:f>'Weekly Projections'!D102</x:f>
        <x:v>MIN</x:v>
      </x:c>
      <x:c r="F102" s="13" t="n">
        <x:f>'Weekly Projections'!AW102</x:f>
        <x:v>3.1997149797570854</x:v>
      </x:c>
      <x:c r="G102" s="13" t="n">
        <x:f>'Weekly Projections'!AX102</x:f>
        <x:v>1.8558346882591095</x:v>
      </x:c>
      <x:c r="H102" s="13" t="n">
        <x:f>'Weekly Projections'!AY102</x:f>
        <x:v>4.639586720647774</x:v>
      </x:c>
      <x:c r="I102" s="12" t="str">
        <x:f>'Weekly Projections'!H102</x:f>
        <x:v>ACTIVE</x:v>
      </x:c>
      <x:c r="J102" s="12" t="str">
        <x:f>'Weekly Projections'!AZ102</x:f>
        <x:v>High</x:v>
      </x:c>
      <x:c r="K102" s="12" t="n">
        <x:f>'Weekly Projections'!BA102</x:f>
        <x:v>7</x:v>
      </x:c>
      <x:c r="L102" s="12" t="n">
        <x:f>'Weekly Projections'!BC102</x:f>
        <x:v>65</x:v>
      </x:c>
      <x:c r="M102" s="12" t="str">
        <x:f>'Weekly Projections'!BD102</x:f>
        <x:v>→</x:v>
      </x:c>
    </x:row>
    <x:row r="103">
      <x:c r="A103" s="14" t="n">
        <x:f>'Weekly Projections'!BB103</x:f>
        <x:v>66</x:v>
      </x:c>
      <x:c r="B103" s="12" t="str">
        <x:f>'Weekly Projections'!A103</x:f>
        <x:v>James Conner</x:v>
      </x:c>
      <x:c r="C103" s="12" t="str">
        <x:f>'Weekly Projections'!B103</x:f>
        <x:v>ARI</x:v>
      </x:c>
      <x:c r="D103" s="12" t="str">
        <x:f>'Weekly Projections'!C103</x:f>
        <x:v>RB</x:v>
      </x:c>
      <x:c r="E103" s="12" t="str">
        <x:f>'Weekly Projections'!D103</x:f>
        <x:v>SF</x:v>
      </x:c>
      <x:c r="F103" s="13" t="n">
        <x:f>'Weekly Projections'!AW103</x:f>
        <x:v>3.1236437246963553</x:v>
      </x:c>
      <x:c r="G103" s="13" t="n">
        <x:f>'Weekly Projections'!AX103</x:f>
        <x:v>1.811713360323886</x:v>
      </x:c>
      <x:c r="H103" s="13" t="n">
        <x:f>'Weekly Projections'!AY103</x:f>
        <x:v>4.529283400809715</x:v>
      </x:c>
      <x:c r="I103" s="12" t="str">
        <x:f>'Weekly Projections'!H103</x:f>
        <x:v>ACTIVE</x:v>
      </x:c>
      <x:c r="J103" s="12" t="str">
        <x:f>'Weekly Projections'!AZ103</x:f>
        <x:v>High</x:v>
      </x:c>
      <x:c r="K103" s="12" t="n">
        <x:f>'Weekly Projections'!BA103</x:f>
        <x:v>7</x:v>
      </x:c>
      <x:c r="L103" s="12" t="n">
        <x:f>'Weekly Projections'!BC103</x:f>
        <x:v>66</x:v>
      </x:c>
      <x:c r="M103" s="12" t="str">
        <x:f>'Weekly Projections'!BD103</x:f>
        <x:v>→</x:v>
      </x:c>
    </x:row>
    <x:row r="104">
      <x:c r="A104" s="14" t="n">
        <x:f>'Weekly Projections'!BB105</x:f>
        <x:v>67</x:v>
      </x:c>
      <x:c r="B104" s="12" t="str">
        <x:f>'Weekly Projections'!A105</x:f>
        <x:v>Demond Claiborne</x:v>
      </x:c>
      <x:c r="C104" s="12" t="str">
        <x:f>'Weekly Projections'!B105</x:f>
        <x:v>MIN</x:v>
      </x:c>
      <x:c r="D104" s="12" t="str">
        <x:f>'Weekly Projections'!C105</x:f>
        <x:v>RB</x:v>
      </x:c>
      <x:c r="E104" s="12" t="str">
        <x:f>'Weekly Projections'!D105</x:f>
        <x:v>TB</x:v>
      </x:c>
      <x:c r="F104" s="13" t="n">
        <x:f>'Weekly Projections'!AW105</x:f>
        <x:v>3.0723886639676117</x:v>
      </x:c>
      <x:c r="G104" s="13" t="n">
        <x:f>'Weekly Projections'!AX105</x:f>
        <x:v>1.7819854251012146</x:v>
      </x:c>
      <x:c r="H104" s="13" t="n">
        <x:f>'Weekly Projections'!AY105</x:f>
        <x:v>4.454963562753036</x:v>
      </x:c>
      <x:c r="I104" s="12" t="str">
        <x:f>'Weekly Projections'!H105</x:f>
        <x:v>ACTIVE</x:v>
      </x:c>
      <x:c r="J104" s="12" t="str">
        <x:f>'Weekly Projections'!AZ105</x:f>
        <x:v>High</x:v>
      </x:c>
      <x:c r="K104" s="12" t="n">
        <x:f>'Weekly Projections'!BA105</x:f>
        <x:v>7</x:v>
      </x:c>
      <x:c r="L104" s="12" t="n">
        <x:f>'Weekly Projections'!BC105</x:f>
        <x:v>67</x:v>
      </x:c>
      <x:c r="M104" s="12" t="str">
        <x:f>'Weekly Projections'!BD105</x:f>
        <x:v>→</x:v>
      </x:c>
    </x:row>
    <x:row r="105">
      <x:c r="A105" s="14" t="n">
        <x:f>'Weekly Projections'!BB107</x:f>
        <x:v>68</x:v>
      </x:c>
      <x:c r="B105" s="12" t="str">
        <x:f>'Weekly Projections'!A107</x:f>
        <x:v>Emanuel Wilson</x:v>
      </x:c>
      <x:c r="C105" s="12" t="str">
        <x:f>'Weekly Projections'!B107</x:f>
        <x:v>SEA</x:v>
      </x:c>
      <x:c r="D105" s="12" t="str">
        <x:f>'Weekly Projections'!C107</x:f>
        <x:v>RB</x:v>
      </x:c>
      <x:c r="E105" s="12" t="str">
        <x:f>'Weekly Projections'!D107</x:f>
        <x:v>WAS</x:v>
      </x:c>
      <x:c r="F105" s="13" t="n">
        <x:f>'Weekly Projections'!AW107</x:f>
        <x:v>3.0000000000000004</x:v>
      </x:c>
      <x:c r="G105" s="13" t="n">
        <x:f>'Weekly Projections'!AX107</x:f>
        <x:v>1.7400000000000002</x:v>
      </x:c>
      <x:c r="H105" s="13" t="n">
        <x:f>'Weekly Projections'!AY107</x:f>
        <x:v>4.3500000000000005</x:v>
      </x:c>
      <x:c r="I105" s="12" t="str">
        <x:f>'Weekly Projections'!H107</x:f>
        <x:v>ACTIVE</x:v>
      </x:c>
      <x:c r="J105" s="12" t="str">
        <x:f>'Weekly Projections'!AZ107</x:f>
        <x:v>High</x:v>
      </x:c>
      <x:c r="K105" s="12" t="n">
        <x:f>'Weekly Projections'!BA107</x:f>
        <x:v>8</x:v>
      </x:c>
      <x:c r="L105" s="12" t="n">
        <x:f>'Weekly Projections'!BC107</x:f>
        <x:v>68</x:v>
      </x:c>
      <x:c r="M105" s="12" t="str">
        <x:f>'Weekly Projections'!BD107</x:f>
        <x:v>→</x:v>
      </x:c>
    </x:row>
    <x:row r="106">
      <x:c r="A106" s="14" t="n">
        <x:f>'Weekly Projections'!BB108</x:f>
        <x:v>69</x:v>
      </x:c>
      <x:c r="B106" s="12" t="str">
        <x:f>'Weekly Projections'!A108</x:f>
        <x:v>Samaje Perine</x:v>
      </x:c>
      <x:c r="C106" s="12" t="str">
        <x:f>'Weekly Projections'!B108</x:f>
        <x:v>CIN</x:v>
      </x:c>
      <x:c r="D106" s="12" t="str">
        <x:f>'Weekly Projections'!C108</x:f>
        <x:v>RB</x:v>
      </x:c>
      <x:c r="E106" s="12" t="str">
        <x:f>'Weekly Projections'!D108</x:f>
        <x:v>PIT</x:v>
      </x:c>
      <x:c r="F106" s="13" t="n">
        <x:f>'Weekly Projections'!AW108</x:f>
        <x:v>2.9727449392712555</x:v>
      </x:c>
      <x:c r="G106" s="13" t="n">
        <x:f>'Weekly Projections'!AX108</x:f>
        <x:v>1.7241920647773281</x:v>
      </x:c>
      <x:c r="H106" s="13" t="n">
        <x:f>'Weekly Projections'!AY108</x:f>
        <x:v>4.31048016194332</x:v>
      </x:c>
      <x:c r="I106" s="12" t="str">
        <x:f>'Weekly Projections'!H108</x:f>
        <x:v>ACTIVE</x:v>
      </x:c>
      <x:c r="J106" s="12" t="str">
        <x:f>'Weekly Projections'!AZ108</x:f>
        <x:v>High</x:v>
      </x:c>
      <x:c r="K106" s="12" t="n">
        <x:f>'Weekly Projections'!BA108</x:f>
        <x:v>8</x:v>
      </x:c>
      <x:c r="L106" s="12" t="n">
        <x:f>'Weekly Projections'!BC108</x:f>
        <x:v>69</x:v>
      </x:c>
      <x:c r="M106" s="12" t="str">
        <x:f>'Weekly Projections'!BD108</x:f>
        <x:v>→</x:v>
      </x:c>
    </x:row>
    <x:row r="107">
      <x:c r="A107" s="14" t="n">
        <x:f>'Weekly Projections'!BB109</x:f>
        <x:v>70</x:v>
      </x:c>
      <x:c r="B107" s="12" t="str">
        <x:f>'Weekly Projections'!A109</x:f>
        <x:v>Justice Hill</x:v>
      </x:c>
      <x:c r="C107" s="12" t="str">
        <x:f>'Weekly Projections'!B109</x:f>
        <x:v>BAL</x:v>
      </x:c>
      <x:c r="D107" s="12" t="str">
        <x:f>'Weekly Projections'!C109</x:f>
        <x:v>RB</x:v>
      </x:c>
      <x:c r="E107" s="12" t="str">
        <x:f>'Weekly Projections'!D109</x:f>
        <x:v>DAL</x:v>
      </x:c>
      <x:c r="F107" s="13" t="n">
        <x:f>'Weekly Projections'!AW109</x:f>
        <x:v>2.896236437246964</x:v>
      </x:c>
      <x:c r="G107" s="13" t="n">
        <x:f>'Weekly Projections'!AX109</x:f>
        <x:v>1.679817133603239</x:v>
      </x:c>
      <x:c r="H107" s="13" t="n">
        <x:f>'Weekly Projections'!AY109</x:f>
        <x:v>4.199542834008097</x:v>
      </x:c>
      <x:c r="I107" s="12" t="str">
        <x:f>'Weekly Projections'!H109</x:f>
        <x:v>ACTIVE</x:v>
      </x:c>
      <x:c r="J107" s="12" t="str">
        <x:f>'Weekly Projections'!AZ109</x:f>
        <x:v>High</x:v>
      </x:c>
      <x:c r="K107" s="12" t="n">
        <x:f>'Weekly Projections'!BA109</x:f>
        <x:v>8</x:v>
      </x:c>
      <x:c r="L107" s="12" t="n">
        <x:f>'Weekly Projections'!BC109</x:f>
        <x:v>70</x:v>
      </x:c>
      <x:c r="M107" s="12" t="str">
        <x:f>'Weekly Projections'!BD109</x:f>
        <x:v>→</x:v>
      </x:c>
    </x:row>
    <x:row r="108">
      <x:c r="A108" s="14" t="n">
        <x:f>'Weekly Projections'!BB111</x:f>
        <x:v>71</x:v>
      </x:c>
      <x:c r="B108" s="12" t="str">
        <x:f>'Weekly Projections'!A111</x:f>
        <x:v>Kendre Miller</x:v>
      </x:c>
      <x:c r="C108" s="12" t="str">
        <x:f>'Weekly Projections'!B111</x:f>
        <x:v>NO</x:v>
      </x:c>
      <x:c r="D108" s="12" t="str">
        <x:f>'Weekly Projections'!C111</x:f>
        <x:v>RB</x:v>
      </x:c>
      <x:c r="E108" s="12" t="str">
        <x:f>'Weekly Projections'!D111</x:f>
        <x:v>LV</x:v>
      </x:c>
      <x:c r="F108" s="13" t="n">
        <x:f>'Weekly Projections'!AW111</x:f>
        <x:v>2.6759514170040486</x:v>
      </x:c>
      <x:c r="G108" s="13" t="n">
        <x:f>'Weekly Projections'!AX111</x:f>
        <x:v>1.552051821862348</x:v>
      </x:c>
      <x:c r="H108" s="13" t="n">
        <x:f>'Weekly Projections'!AY111</x:f>
        <x:v>3.8801295546558703</x:v>
      </x:c>
      <x:c r="I108" s="12" t="str">
        <x:f>'Weekly Projections'!H111</x:f>
        <x:v>ACTIVE</x:v>
      </x:c>
      <x:c r="J108" s="12" t="str">
        <x:f>'Weekly Projections'!AZ111</x:f>
        <x:v>High</x:v>
      </x:c>
      <x:c r="K108" s="12" t="n">
        <x:f>'Weekly Projections'!BA111</x:f>
        <x:v>8</x:v>
      </x:c>
      <x:c r="L108" s="12" t="n">
        <x:f>'Weekly Projections'!BC111</x:f>
        <x:v>71</x:v>
      </x:c>
      <x:c r="M108" s="12" t="str">
        <x:f>'Weekly Projections'!BD111</x:f>
        <x:v>→</x:v>
      </x:c>
    </x:row>
    <x:row r="109">
      <x:c r="A109" s="14" t="n">
        <x:f>'Weekly Projections'!BB112</x:f>
        <x:v>72</x:v>
      </x:c>
      <x:c r="B109" s="12" t="str">
        <x:f>'Weekly Projections'!A112</x:f>
        <x:v>Ollie Gordon II</x:v>
      </x:c>
      <x:c r="C109" s="12" t="str">
        <x:f>'Weekly Projections'!B112</x:f>
        <x:v>MIA</x:v>
      </x:c>
      <x:c r="D109" s="12" t="str">
        <x:f>'Weekly Projections'!C112</x:f>
        <x:v>RB</x:v>
      </x:c>
      <x:c r="E109" s="12" t="str">
        <x:f>'Weekly Projections'!D112</x:f>
        <x:v>KC</x:v>
      </x:c>
      <x:c r="F109" s="13" t="n">
        <x:f>'Weekly Projections'!AW112</x:f>
        <x:v>2.628417813765182</x:v>
      </x:c>
      <x:c r="G109" s="13" t="n">
        <x:f>'Weekly Projections'!AX112</x:f>
        <x:v>1.5244823319838054</x:v>
      </x:c>
      <x:c r="H109" s="13" t="n">
        <x:f>'Weekly Projections'!AY112</x:f>
        <x:v>3.811205829959514</x:v>
      </x:c>
      <x:c r="I109" s="12" t="str">
        <x:f>'Weekly Projections'!H112</x:f>
        <x:v>ACTIVE</x:v>
      </x:c>
      <x:c r="J109" s="12" t="str">
        <x:f>'Weekly Projections'!AZ112</x:f>
        <x:v>High</x:v>
      </x:c>
      <x:c r="K109" s="12" t="n">
        <x:f>'Weekly Projections'!BA112</x:f>
        <x:v>8</x:v>
      </x:c>
      <x:c r="L109" s="12" t="n">
        <x:f>'Weekly Projections'!BC112</x:f>
        <x:v>72</x:v>
      </x:c>
      <x:c r="M109" s="12" t="str">
        <x:f>'Weekly Projections'!BD112</x:f>
        <x:v>→</x:v>
      </x:c>
    </x:row>
    <x:row r="110">
      <x:c r="A110" s="14" t="n">
        <x:f>'Weekly Projections'!BB113</x:f>
        <x:v>73</x:v>
      </x:c>
      <x:c r="B110" s="12" t="str">
        <x:f>'Weekly Projections'!A113</x:f>
        <x:v>LeQuint Allen Jr.</x:v>
      </x:c>
      <x:c r="C110" s="12" t="str">
        <x:f>'Weekly Projections'!B113</x:f>
        <x:v>JAC</x:v>
      </x:c>
      <x:c r="D110" s="12" t="str">
        <x:f>'Weekly Projections'!C113</x:f>
        <x:v>RB</x:v>
      </x:c>
      <x:c r="E110" s="12" t="str">
        <x:f>'Weekly Projections'!D113</x:f>
        <x:v>NE</x:v>
      </x:c>
      <x:c r="F110" s="13" t="n">
        <x:f>'Weekly Projections'!AW113</x:f>
        <x:v>2.5</x:v>
      </x:c>
      <x:c r="G110" s="13" t="n">
        <x:f>'Weekly Projections'!AX113</x:f>
        <x:v>1.45</x:v>
      </x:c>
      <x:c r="H110" s="13" t="n">
        <x:f>'Weekly Projections'!AY113</x:f>
        <x:v>3.625</x:v>
      </x:c>
      <x:c r="I110" s="12" t="str">
        <x:f>'Weekly Projections'!H113</x:f>
        <x:v>ACTIVE</x:v>
      </x:c>
      <x:c r="J110" s="12" t="str">
        <x:f>'Weekly Projections'!AZ113</x:f>
        <x:v>High</x:v>
      </x:c>
      <x:c r="K110" s="12" t="n">
        <x:f>'Weekly Projections'!BA113</x:f>
        <x:v>8</x:v>
      </x:c>
      <x:c r="L110" s="12" t="n">
        <x:f>'Weekly Projections'!BC113</x:f>
        <x:v>73</x:v>
      </x:c>
      <x:c r="M110" s="12" t="str">
        <x:f>'Weekly Projections'!BD113</x:f>
        <x:v>→</x:v>
      </x:c>
    </x:row>
    <x:row r="111">
      <x:c r="A111" s="14" t="n">
        <x:f>'Weekly Projections'!BB115</x:f>
        <x:v>74</x:v>
      </x:c>
      <x:c r="B111" s="12" t="str">
        <x:f>'Weekly Projections'!A115</x:f>
        <x:v>Ty Johnson</x:v>
      </x:c>
      <x:c r="C111" s="12" t="str">
        <x:f>'Weekly Projections'!B115</x:f>
        <x:v>BUF</x:v>
      </x:c>
      <x:c r="D111" s="12" t="str">
        <x:f>'Weekly Projections'!C115</x:f>
        <x:v>RB</x:v>
      </x:c>
      <x:c r="E111" s="12" t="str">
        <x:f>'Weekly Projections'!D115</x:f>
        <x:v>LAC</x:v>
      </x:c>
      <x:c r="F111" s="13" t="n">
        <x:f>'Weekly Projections'!AW115</x:f>
        <x:v>2.3819433198380566</x:v>
      </x:c>
      <x:c r="G111" s="13" t="n">
        <x:f>'Weekly Projections'!AX115</x:f>
        <x:v>1.3815271255060728</x:v>
      </x:c>
      <x:c r="H111" s="13" t="n">
        <x:f>'Weekly Projections'!AY115</x:f>
        <x:v>3.453817813765182</x:v>
      </x:c>
      <x:c r="I111" s="12" t="str">
        <x:f>'Weekly Projections'!H115</x:f>
        <x:v>ACTIVE</x:v>
      </x:c>
      <x:c r="J111" s="12" t="str">
        <x:f>'Weekly Projections'!AZ115</x:f>
        <x:v>High</x:v>
      </x:c>
      <x:c r="K111" s="12" t="n">
        <x:f>'Weekly Projections'!BA115</x:f>
        <x:v>8</x:v>
      </x:c>
      <x:c r="L111" s="12" t="n">
        <x:f>'Weekly Projections'!BC115</x:f>
        <x:v>75</x:v>
      </x:c>
      <x:c r="M111" s="12" t="str">
        <x:f>'Weekly Projections'!BD115</x:f>
        <x:v>↑</x:v>
      </x:c>
    </x:row>
    <x:row r="112">
      <x:c r="A112" s="14" t="n">
        <x:f>'Weekly Projections'!BB114</x:f>
        <x:v>75</x:v>
      </x:c>
      <x:c r="B112" s="12" t="str">
        <x:f>'Weekly Projections'!A114</x:f>
        <x:v>Devin Singletary</x:v>
      </x:c>
      <x:c r="C112" s="12" t="str">
        <x:f>'Weekly Projections'!B114</x:f>
        <x:v>NYG</x:v>
      </x:c>
      <x:c r="D112" s="12" t="str">
        <x:f>'Weekly Projections'!C114</x:f>
        <x:v>RB</x:v>
      </x:c>
      <x:c r="E112" s="12" t="str">
        <x:f>'Weekly Projections'!D114</x:f>
        <x:v>TEN</x:v>
      </x:c>
      <x:c r="F112" s="13" t="n">
        <x:f>'Weekly Projections'!AW114</x:f>
        <x:v>2.378572469635628</x:v>
      </x:c>
      <x:c r="G112" s="13" t="n">
        <x:f>'Weekly Projections'!AX114</x:f>
        <x:v>1.379572032388664</x:v>
      </x:c>
      <x:c r="H112" s="13" t="n">
        <x:f>'Weekly Projections'!AY114</x:f>
        <x:v>3.4489300809716603</x:v>
      </x:c>
      <x:c r="I112" s="12" t="str">
        <x:f>'Weekly Projections'!H114</x:f>
        <x:v>ACTIVE</x:v>
      </x:c>
      <x:c r="J112" s="12" t="str">
        <x:f>'Weekly Projections'!AZ114</x:f>
        <x:v>Moderate</x:v>
      </x:c>
      <x:c r="K112" s="12" t="n">
        <x:f>'Weekly Projections'!BA114</x:f>
        <x:v>8</x:v>
      </x:c>
      <x:c r="L112" s="12" t="n">
        <x:f>'Weekly Projections'!BC114</x:f>
        <x:v>74</x:v>
      </x:c>
      <x:c r="M112" s="12" t="str">
        <x:f>'Weekly Projections'!BD114</x:f>
        <x:v>↓</x:v>
      </x:c>
    </x:row>
    <x:row r="113">
      <x:c r="A113" s="14" t="n">
        <x:f>'Weekly Projections'!BB116</x:f>
        <x:v>76</x:v>
      </x:c>
      <x:c r="B113" s="12" t="str">
        <x:f>'Weekly Projections'!A116</x:f>
        <x:v>DJ Giddens</x:v>
      </x:c>
      <x:c r="C113" s="12" t="str">
        <x:f>'Weekly Projections'!B116</x:f>
        <x:v>IND</x:v>
      </x:c>
      <x:c r="D113" s="12" t="str">
        <x:f>'Weekly Projections'!C116</x:f>
        <x:v>RB</x:v>
      </x:c>
      <x:c r="E113" s="12" t="str">
        <x:f>'Weekly Projections'!D116</x:f>
        <x:v>HOU</x:v>
      </x:c>
      <x:c r="F113" s="13" t="n">
        <x:f>'Weekly Projections'!AW116</x:f>
        <x:v>2.314493927125506</x:v>
      </x:c>
      <x:c r="G113" s="13" t="n">
        <x:f>'Weekly Projections'!AX116</x:f>
        <x:v>1.3424064777327933</x:v>
      </x:c>
      <x:c r="H113" s="13" t="n">
        <x:f>'Weekly Projections'!AY116</x:f>
        <x:v>3.3560161943319833</x:v>
      </x:c>
      <x:c r="I113" s="12" t="str">
        <x:f>'Weekly Projections'!H116</x:f>
        <x:v>ACTIVE</x:v>
      </x:c>
      <x:c r="J113" s="12" t="str">
        <x:f>'Weekly Projections'!AZ116</x:f>
        <x:v>High</x:v>
      </x:c>
      <x:c r="K113" s="12" t="n">
        <x:f>'Weekly Projections'!BA116</x:f>
        <x:v>8</x:v>
      </x:c>
      <x:c r="L113" s="12" t="n">
        <x:f>'Weekly Projections'!BC116</x:f>
        <x:v>76</x:v>
      </x:c>
      <x:c r="M113" s="12" t="str">
        <x:f>'Weekly Projections'!BD116</x:f>
        <x:v>→</x:v>
      </x:c>
    </x:row>
    <x:row r="114">
      <x:c r="A114" s="14" t="n">
        <x:f>'Weekly Projections'!BB117</x:f>
        <x:v>77</x:v>
      </x:c>
      <x:c r="B114" s="12" t="str">
        <x:f>'Weekly Projections'!A117</x:f>
        <x:v>Eli Heidenreich</x:v>
      </x:c>
      <x:c r="C114" s="12" t="str">
        <x:f>'Weekly Projections'!B117</x:f>
        <x:v>PIT</x:v>
      </x:c>
      <x:c r="D114" s="12" t="str">
        <x:f>'Weekly Projections'!C117</x:f>
        <x:v>RB</x:v>
      </x:c>
      <x:c r="E114" s="12" t="str">
        <x:f>'Weekly Projections'!D117</x:f>
        <x:v>CIN</x:v>
      </x:c>
      <x:c r="F114" s="13" t="n">
        <x:f>'Weekly Projections'!AW117</x:f>
        <x:v>2.258001619433199</x:v>
      </x:c>
      <x:c r="G114" s="13" t="n">
        <x:f>'Weekly Projections'!AX117</x:f>
        <x:v>1.3096409392712554</x:v>
      </x:c>
      <x:c r="H114" s="13" t="n">
        <x:f>'Weekly Projections'!AY117</x:f>
        <x:v>3.2741023481781384</x:v>
      </x:c>
      <x:c r="I114" s="12" t="str">
        <x:f>'Weekly Projections'!H117</x:f>
        <x:v>ACTIVE</x:v>
      </x:c>
      <x:c r="J114" s="12" t="str">
        <x:f>'Weekly Projections'!AZ117</x:f>
        <x:v>High</x:v>
      </x:c>
      <x:c r="K114" s="12" t="n">
        <x:f>'Weekly Projections'!BA117</x:f>
        <x:v>9</x:v>
      </x:c>
      <x:c r="L114" s="12" t="n">
        <x:f>'Weekly Projections'!BC117</x:f>
        <x:v>77</x:v>
      </x:c>
      <x:c r="M114" s="12" t="str">
        <x:f>'Weekly Projections'!BD117</x:f>
        <x:v>→</x:v>
      </x:c>
    </x:row>
    <x:row r="115">
      <x:c r="A115" s="14" t="n">
        <x:f>'Weekly Projections'!BB118</x:f>
        <x:v>78</x:v>
      </x:c>
      <x:c r="B115" s="12" t="str">
        <x:f>'Weekly Projections'!A118</x:f>
        <x:v>Brashard Smith</x:v>
      </x:c>
      <x:c r="C115" s="12" t="str">
        <x:f>'Weekly Projections'!B118</x:f>
        <x:v>KC</x:v>
      </x:c>
      <x:c r="D115" s="12" t="str">
        <x:f>'Weekly Projections'!C118</x:f>
        <x:v>RB</x:v>
      </x:c>
      <x:c r="E115" s="12" t="str">
        <x:f>'Weekly Projections'!D118</x:f>
        <x:v>MIA</x:v>
      </x:c>
      <x:c r="F115" s="13" t="n">
        <x:f>'Weekly Projections'!AW118</x:f>
        <x:v>2.2331757085020247</x:v>
      </x:c>
      <x:c r="G115" s="13" t="n">
        <x:f>'Weekly Projections'!AX118</x:f>
        <x:v>1.2952419109311744</x:v>
      </x:c>
      <x:c r="H115" s="13" t="n">
        <x:f>'Weekly Projections'!AY118</x:f>
        <x:v>3.2381047773279357</x:v>
      </x:c>
      <x:c r="I115" s="12" t="str">
        <x:f>'Weekly Projections'!H118</x:f>
        <x:v>ACTIVE</x:v>
      </x:c>
      <x:c r="J115" s="12" t="str">
        <x:f>'Weekly Projections'!AZ118</x:f>
        <x:v>High</x:v>
      </x:c>
      <x:c r="K115" s="12" t="n">
        <x:f>'Weekly Projections'!BA118</x:f>
        <x:v>9</x:v>
      </x:c>
      <x:c r="L115" s="12" t="n">
        <x:f>'Weekly Projections'!BC118</x:f>
        <x:v>78</x:v>
      </x:c>
      <x:c r="M115" s="12" t="str">
        <x:f>'Weekly Projections'!BD118</x:f>
        <x:v>→</x:v>
      </x:c>
    </x:row>
    <x:row r="116">
      <x:c r="A116" s="14" t="n">
        <x:f>'Weekly Projections'!BB119</x:f>
        <x:v>79</x:v>
      </x:c>
      <x:c r="B116" s="12" t="str">
        <x:f>'Weekly Projections'!A119</x:f>
        <x:v>Will Shipley</x:v>
      </x:c>
      <x:c r="C116" s="12" t="str">
        <x:f>'Weekly Projections'!B119</x:f>
        <x:v>PHI</x:v>
      </x:c>
      <x:c r="D116" s="12" t="str">
        <x:f>'Weekly Projections'!C119</x:f>
        <x:v>RB</x:v>
      </x:c>
      <x:c r="E116" s="12" t="str">
        <x:f>'Weekly Projections'!D119</x:f>
        <x:v>CHI</x:v>
      </x:c>
      <x:c r="F116" s="13" t="n">
        <x:f>'Weekly Projections'!AW119</x:f>
        <x:v>2.194644534412956</x:v>
      </x:c>
      <x:c r="G116" s="13" t="n">
        <x:f>'Weekly Projections'!AX119</x:f>
        <x:v>1.2728938299595143</x:v>
      </x:c>
      <x:c r="H116" s="13" t="n">
        <x:f>'Weekly Projections'!AY119</x:f>
        <x:v>3.182234574898786</x:v>
      </x:c>
      <x:c r="I116" s="12" t="str">
        <x:f>'Weekly Projections'!H119</x:f>
        <x:v>ACTIVE</x:v>
      </x:c>
      <x:c r="J116" s="12" t="str">
        <x:f>'Weekly Projections'!AZ119</x:f>
        <x:v>High</x:v>
      </x:c>
      <x:c r="K116" s="12" t="n">
        <x:f>'Weekly Projections'!BA119</x:f>
        <x:v>9</x:v>
      </x:c>
      <x:c r="L116" s="12" t="n">
        <x:f>'Weekly Projections'!BC119</x:f>
        <x:v>79</x:v>
      </x:c>
      <x:c r="M116" s="12" t="str">
        <x:f>'Weekly Projections'!BD119</x:f>
        <x:v>→</x:v>
      </x:c>
    </x:row>
    <x:row r="117">
      <x:c r="A117" s="14" t="n">
        <x:f>'Weekly Projections'!BB120</x:f>
        <x:v>80</x:v>
      </x:c>
      <x:c r="B117" s="12" t="str">
        <x:f>'Weekly Projections'!A120</x:f>
        <x:v>Emari Demercado</x:v>
      </x:c>
      <x:c r="C117" s="12" t="str">
        <x:f>'Weekly Projections'!B120</x:f>
        <x:v>DAL</x:v>
      </x:c>
      <x:c r="D117" s="12" t="str">
        <x:f>'Weekly Projections'!C120</x:f>
        <x:v>RB</x:v>
      </x:c>
      <x:c r="E117" s="12" t="str">
        <x:f>'Weekly Projections'!D120</x:f>
        <x:v>BAL</x:v>
      </x:c>
      <x:c r="F117" s="13" t="n">
        <x:f>'Weekly Projections'!AW120</x:f>
        <x:v>2.177085020242915</x:v>
      </x:c>
      <x:c r="G117" s="13" t="n">
        <x:f>'Weekly Projections'!AX120</x:f>
        <x:v>1.2627093117408905</x:v>
      </x:c>
      <x:c r="H117" s="13" t="n">
        <x:f>'Weekly Projections'!AY120</x:f>
        <x:v>3.1567732793522265</x:v>
      </x:c>
      <x:c r="I117" s="12" t="str">
        <x:f>'Weekly Projections'!H120</x:f>
        <x:v>ACTIVE</x:v>
      </x:c>
      <x:c r="J117" s="12" t="str">
        <x:f>'Weekly Projections'!AZ120</x:f>
        <x:v>High</x:v>
      </x:c>
      <x:c r="K117" s="12" t="n">
        <x:f>'Weekly Projections'!BA120</x:f>
        <x:v>9</x:v>
      </x:c>
      <x:c r="L117" s="12" t="n">
        <x:f>'Weekly Projections'!BC120</x:f>
        <x:v>80</x:v>
      </x:c>
      <x:c r="M117" s="12" t="str">
        <x:f>'Weekly Projections'!BD120</x:f>
        <x:v>→</x:v>
      </x:c>
    </x:row>
    <x:row r="118">
      <x:c r="A118" s="14" t="n">
        <x:f>'Weekly Projections'!BB121</x:f>
        <x:v>81</x:v>
      </x:c>
      <x:c r="B118" s="12" t="str">
        <x:f>'Weekly Projections'!A121</x:f>
        <x:v>Isaiah Davis</x:v>
      </x:c>
      <x:c r="C118" s="12" t="str">
        <x:f>'Weekly Projections'!B121</x:f>
        <x:v>NYJ</x:v>
      </x:c>
      <x:c r="D118" s="12" t="str">
        <x:f>'Weekly Projections'!C121</x:f>
        <x:v>RB</x:v>
      </x:c>
      <x:c r="E118" s="12" t="str">
        <x:f>'Weekly Projections'!D121</x:f>
        <x:v>DET</x:v>
      </x:c>
      <x:c r="F118" s="13" t="n">
        <x:f>'Weekly Projections'!AW121</x:f>
        <x:v>2.141214574898786</x:v>
      </x:c>
      <x:c r="G118" s="13" t="n">
        <x:f>'Weekly Projections'!AX121</x:f>
        <x:v>1.2419044534412957</x:v>
      </x:c>
      <x:c r="H118" s="13" t="n">
        <x:f>'Weekly Projections'!AY121</x:f>
        <x:v>3.10476113360324</x:v>
      </x:c>
      <x:c r="I118" s="12" t="str">
        <x:f>'Weekly Projections'!H121</x:f>
        <x:v>ACTIVE</x:v>
      </x:c>
      <x:c r="J118" s="12" t="str">
        <x:f>'Weekly Projections'!AZ121</x:f>
        <x:v>High</x:v>
      </x:c>
      <x:c r="K118" s="12" t="n">
        <x:f>'Weekly Projections'!BA121</x:f>
        <x:v>9</x:v>
      </x:c>
      <x:c r="L118" s="12" t="n">
        <x:f>'Weekly Projections'!BC121</x:f>
        <x:v>81</x:v>
      </x:c>
      <x:c r="M118" s="12" t="str">
        <x:f>'Weekly Projections'!BD121</x:f>
        <x:v>→</x:v>
      </x:c>
    </x:row>
    <x:row r="119">
      <x:c r="A119" s="14" t="n">
        <x:f>'Weekly Projections'!BB122</x:f>
        <x:v>82</x:v>
      </x:c>
      <x:c r="B119" s="12" t="str">
        <x:f>'Weekly Projections'!A122</x:f>
        <x:v>Jaydon Blue</x:v>
      </x:c>
      <x:c r="C119" s="12" t="str">
        <x:f>'Weekly Projections'!B122</x:f>
        <x:v>PHI</x:v>
      </x:c>
      <x:c r="D119" s="12" t="str">
        <x:f>'Weekly Projections'!C122</x:f>
        <x:v>RB</x:v>
      </x:c>
      <x:c r="E119" s="12" t="str">
        <x:f>'Weekly Projections'!D122</x:f>
        <x:v>CHI</x:v>
      </x:c>
      <x:c r="F119" s="13" t="n">
        <x:f>'Weekly Projections'!AW122</x:f>
        <x:v>2.0901376518218626</x:v>
      </x:c>
      <x:c r="G119" s="13" t="n">
        <x:f>'Weekly Projections'!AX122</x:f>
        <x:v>1.2122798380566802</x:v>
      </x:c>
      <x:c r="H119" s="13" t="n">
        <x:f>'Weekly Projections'!AY122</x:f>
        <x:v>3.0306995951417006</x:v>
      </x:c>
      <x:c r="I119" s="12" t="str">
        <x:f>'Weekly Projections'!H122</x:f>
        <x:v>ACTIVE</x:v>
      </x:c>
      <x:c r="J119" s="12" t="str">
        <x:f>'Weekly Projections'!AZ122</x:f>
        <x:v>High</x:v>
      </x:c>
      <x:c r="K119" s="12" t="n">
        <x:f>'Weekly Projections'!BA122</x:f>
        <x:v>9</x:v>
      </x:c>
      <x:c r="L119" s="12" t="n">
        <x:f>'Weekly Projections'!BC122</x:f>
        <x:v>82</x:v>
      </x:c>
      <x:c r="M119" s="12" t="str">
        <x:f>'Weekly Projections'!BD122</x:f>
        <x:v>→</x:v>
      </x:c>
    </x:row>
    <x:row r="120">
      <x:c r="A120" s="14" t="n">
        <x:f>'Weekly Projections'!BB123</x:f>
        <x:v>83</x:v>
      </x:c>
      <x:c r="B120" s="12" t="str">
        <x:f>'Weekly Projections'!A123</x:f>
        <x:v>Raheim Sanders</x:v>
      </x:c>
      <x:c r="C120" s="12" t="str">
        <x:f>'Weekly Projections'!B123</x:f>
        <x:v>CLE</x:v>
      </x:c>
      <x:c r="D120" s="12" t="str">
        <x:f>'Weekly Projections'!C123</x:f>
        <x:v>RB</x:v>
      </x:c>
      <x:c r="E120" s="12" t="str">
        <x:f>'Weekly Projections'!D123</x:f>
        <x:v>CAR</x:v>
      </x:c>
      <x:c r="F120" s="13" t="n">
        <x:f>'Weekly Projections'!AW123</x:f>
        <x:v>2.0675141700404858</x:v>
      </x:c>
      <x:c r="G120" s="13" t="n">
        <x:f>'Weekly Projections'!AX123</x:f>
        <x:v>1.1991582186234817</x:v>
      </x:c>
      <x:c r="H120" s="13" t="n">
        <x:f>'Weekly Projections'!AY123</x:f>
        <x:v>2.9978955465587043</x:v>
      </x:c>
      <x:c r="I120" s="12" t="str">
        <x:f>'Weekly Projections'!H123</x:f>
        <x:v>ACTIVE</x:v>
      </x:c>
      <x:c r="J120" s="12" t="str">
        <x:f>'Weekly Projections'!AZ123</x:f>
        <x:v>High</x:v>
      </x:c>
      <x:c r="K120" s="12" t="n">
        <x:f>'Weekly Projections'!BA123</x:f>
        <x:v>9</x:v>
      </x:c>
      <x:c r="L120" s="12" t="n">
        <x:f>'Weekly Projections'!BC123</x:f>
        <x:v>83</x:v>
      </x:c>
      <x:c r="M120" s="12" t="str">
        <x:f>'Weekly Projections'!BD123</x:f>
        <x:v>→</x:v>
      </x:c>
    </x:row>
    <x:row r="121">
      <x:c r="A121" s="14" t="n">
        <x:f>'Weekly Projections'!BB125</x:f>
        <x:v>84</x:v>
      </x:c>
      <x:c r="B121" s="12" t="str">
        <x:f>'Weekly Projections'!A125</x:f>
        <x:v>Audric Estime</x:v>
      </x:c>
      <x:c r="C121" s="12" t="str">
        <x:f>'Weekly Projections'!B125</x:f>
        <x:v>NO</x:v>
      </x:c>
      <x:c r="D121" s="12" t="str">
        <x:f>'Weekly Projections'!C125</x:f>
        <x:v>RB</x:v>
      </x:c>
      <x:c r="E121" s="12" t="str">
        <x:f>'Weekly Projections'!D125</x:f>
        <x:v>LV</x:v>
      </x:c>
      <x:c r="F121" s="13" t="n">
        <x:f>'Weekly Projections'!AW125</x:f>
        <x:v>1.982186234817814</x:v>
      </x:c>
      <x:c r="G121" s="13" t="n">
        <x:f>'Weekly Projections'!AX125</x:f>
        <x:v>1.149668016194332</x:v>
      </x:c>
      <x:c r="H121" s="13" t="n">
        <x:f>'Weekly Projections'!AY125</x:f>
        <x:v>2.87417004048583</x:v>
      </x:c>
      <x:c r="I121" s="12" t="str">
        <x:f>'Weekly Projections'!H125</x:f>
        <x:v>ACTIVE</x:v>
      </x:c>
      <x:c r="J121" s="12" t="str">
        <x:f>'Weekly Projections'!AZ125</x:f>
        <x:v>High</x:v>
      </x:c>
      <x:c r="K121" s="12" t="n">
        <x:f>'Weekly Projections'!BA125</x:f>
        <x:v>9</x:v>
      </x:c>
      <x:c r="L121" s="12" t="n">
        <x:f>'Weekly Projections'!BC125</x:f>
        <x:v>84</x:v>
      </x:c>
      <x:c r="M121" s="12" t="str">
        <x:f>'Weekly Projections'!BD125</x:f>
        <x:v>→</x:v>
      </x:c>
    </x:row>
    <x:row r="122">
      <x:c r="A122" s="14" t="n">
        <x:f>'Weekly Projections'!BB126</x:f>
        <x:v>85</x:v>
      </x:c>
      <x:c r="B122" s="12" t="str">
        <x:f>'Weekly Projections'!A126</x:f>
        <x:v>Jawhar Jordan</x:v>
      </x:c>
      <x:c r="C122" s="12" t="str">
        <x:f>'Weekly Projections'!B126</x:f>
        <x:v>HOU</x:v>
      </x:c>
      <x:c r="D122" s="12" t="str">
        <x:f>'Weekly Projections'!C126</x:f>
        <x:v>RB</x:v>
      </x:c>
      <x:c r="E122" s="12" t="str">
        <x:f>'Weekly Projections'!D126</x:f>
        <x:v>IND</x:v>
      </x:c>
      <x:c r="F122" s="13" t="n">
        <x:f>'Weekly Projections'!AW126</x:f>
        <x:v>1.982186234817814</x:v>
      </x:c>
      <x:c r="G122" s="13" t="n">
        <x:f>'Weekly Projections'!AX126</x:f>
        <x:v>1.149668016194332</x:v>
      </x:c>
      <x:c r="H122" s="13" t="n">
        <x:f>'Weekly Projections'!AY126</x:f>
        <x:v>2.87417004048583</x:v>
      </x:c>
      <x:c r="I122" s="12" t="str">
        <x:f>'Weekly Projections'!H126</x:f>
        <x:v>ACTIVE</x:v>
      </x:c>
      <x:c r="J122" s="12" t="str">
        <x:f>'Weekly Projections'!AZ126</x:f>
        <x:v>High</x:v>
      </x:c>
      <x:c r="K122" s="12" t="n">
        <x:f>'Weekly Projections'!BA126</x:f>
        <x:v>9</x:v>
      </x:c>
      <x:c r="L122" s="12" t="n">
        <x:f>'Weekly Projections'!BC126</x:f>
        <x:v>85</x:v>
      </x:c>
      <x:c r="M122" s="12" t="str">
        <x:f>'Weekly Projections'!BD126</x:f>
        <x:v>→</x:v>
      </x:c>
    </x:row>
    <x:row r="123">
      <x:c r="A123" s="14" t="n">
        <x:f>'Weekly Projections'!BB127</x:f>
        <x:v>86</x:v>
      </x:c>
      <x:c r="B123" s="12" t="str">
        <x:f>'Weekly Projections'!A127</x:f>
        <x:v>Tahj Brooks</x:v>
      </x:c>
      <x:c r="C123" s="12" t="str">
        <x:f>'Weekly Projections'!B127</x:f>
        <x:v>CIN</x:v>
      </x:c>
      <x:c r="D123" s="12" t="str">
        <x:f>'Weekly Projections'!C127</x:f>
        <x:v>RB</x:v>
      </x:c>
      <x:c r="E123" s="12" t="str">
        <x:f>'Weekly Projections'!D127</x:f>
        <x:v>PIT</x:v>
      </x:c>
      <x:c r="F123" s="13" t="n">
        <x:f>'Weekly Projections'!AW127</x:f>
        <x:v>1.9818299595141704</x:v>
      </x:c>
      <x:c r="G123" s="13" t="n">
        <x:f>'Weekly Projections'!AX127</x:f>
        <x:v>1.1494613765182187</x:v>
      </x:c>
      <x:c r="H123" s="13" t="n">
        <x:f>'Weekly Projections'!AY127</x:f>
        <x:v>2.873653441295547</x:v>
      </x:c>
      <x:c r="I123" s="12" t="str">
        <x:f>'Weekly Projections'!H127</x:f>
        <x:v>ACTIVE</x:v>
      </x:c>
      <x:c r="J123" s="12" t="str">
        <x:f>'Weekly Projections'!AZ127</x:f>
        <x:v>High</x:v>
      </x:c>
      <x:c r="K123" s="12" t="n">
        <x:f>'Weekly Projections'!BA127</x:f>
        <x:v>10</x:v>
      </x:c>
      <x:c r="L123" s="12" t="n">
        <x:f>'Weekly Projections'!BC127</x:f>
        <x:v>86</x:v>
      </x:c>
      <x:c r="M123" s="12" t="str">
        <x:f>'Weekly Projections'!BD127</x:f>
        <x:v>→</x:v>
      </x:c>
    </x:row>
    <x:row r="124">
      <x:c r="A124" s="14" t="n">
        <x:f>'Weekly Projections'!BB128</x:f>
        <x:v>87</x:v>
      </x:c>
      <x:c r="B124" s="12" t="str">
        <x:f>'Weekly Projections'!A128</x:f>
        <x:v>Trevor Etienne</x:v>
      </x:c>
      <x:c r="C124" s="12" t="str">
        <x:f>'Weekly Projections'!B128</x:f>
        <x:v>CAR</x:v>
      </x:c>
      <x:c r="D124" s="12" t="str">
        <x:f>'Weekly Projections'!C128</x:f>
        <x:v>RB</x:v>
      </x:c>
      <x:c r="E124" s="12" t="str">
        <x:f>'Weekly Projections'!D128</x:f>
        <x:v>CLE</x:v>
      </x:c>
      <x:c r="F124" s="13" t="n">
        <x:f>'Weekly Projections'!AW128</x:f>
        <x:v>1.9294574898785426</x:v>
      </x:c>
      <x:c r="G124" s="13" t="n">
        <x:f>'Weekly Projections'!AX128</x:f>
        <x:v>1.1190853441295547</x:v>
      </x:c>
      <x:c r="H124" s="13" t="n">
        <x:f>'Weekly Projections'!AY128</x:f>
        <x:v>2.7977133603238866</x:v>
      </x:c>
      <x:c r="I124" s="12" t="str">
        <x:f>'Weekly Projections'!H128</x:f>
        <x:v>ACTIVE</x:v>
      </x:c>
      <x:c r="J124" s="12" t="str">
        <x:f>'Weekly Projections'!AZ128</x:f>
        <x:v>High</x:v>
      </x:c>
      <x:c r="K124" s="12" t="n">
        <x:f>'Weekly Projections'!BA128</x:f>
        <x:v>10</x:v>
      </x:c>
      <x:c r="L124" s="12" t="n">
        <x:f>'Weekly Projections'!BC128</x:f>
        <x:v>87</x:v>
      </x:c>
      <x:c r="M124" s="12" t="str">
        <x:f>'Weekly Projections'!BD128</x:f>
        <x:v>→</x:v>
      </x:c>
    </x:row>
    <x:row r="125">
      <x:c r="A125" s="14" t="n">
        <x:f>'Weekly Projections'!BB129</x:f>
        <x:v>88</x:v>
      </x:c>
      <x:c r="B125" s="12" t="str">
        <x:f>'Weekly Projections'!A129</x:f>
        <x:v>Bam Knight</x:v>
      </x:c>
      <x:c r="C125" s="12" t="str">
        <x:f>'Weekly Projections'!B129</x:f>
        <x:v>ARI</x:v>
      </x:c>
      <x:c r="D125" s="12" t="str">
        <x:f>'Weekly Projections'!C129</x:f>
        <x:v>RB</x:v>
      </x:c>
      <x:c r="E125" s="12" t="str">
        <x:f>'Weekly Projections'!D129</x:f>
        <x:v>SF</x:v>
      </x:c>
      <x:c r="F125" s="13" t="n">
        <x:f>'Weekly Projections'!AW129</x:f>
        <x:v>1.8931174089068825</x:v>
      </x:c>
      <x:c r="G125" s="13" t="n">
        <x:f>'Weekly Projections'!AX129</x:f>
        <x:v>1.0980080971659918</x:v>
      </x:c>
      <x:c r="H125" s="13" t="n">
        <x:f>'Weekly Projections'!AY129</x:f>
        <x:v>2.7450202429149795</x:v>
      </x:c>
      <x:c r="I125" s="12" t="str">
        <x:f>'Weekly Projections'!H129</x:f>
        <x:v>ACTIVE</x:v>
      </x:c>
      <x:c r="J125" s="12" t="str">
        <x:f>'Weekly Projections'!AZ129</x:f>
        <x:v>High</x:v>
      </x:c>
      <x:c r="K125" s="12" t="n">
        <x:f>'Weekly Projections'!BA129</x:f>
        <x:v>10</x:v>
      </x:c>
      <x:c r="L125" s="12" t="n">
        <x:f>'Weekly Projections'!BC129</x:f>
        <x:v>88</x:v>
      </x:c>
      <x:c r="M125" s="12" t="str">
        <x:f>'Weekly Projections'!BD129</x:f>
        <x:v>→</x:v>
      </x:c>
    </x:row>
    <x:row r="126">
      <x:c r="A126" s="14" t="n">
        <x:f>'Weekly Projections'!BB131</x:f>
        <x:v>89</x:v>
      </x:c>
      <x:c r="B126" s="12" t="str">
        <x:f>'Weekly Projections'!A131</x:f>
        <x:v>Jarquez Hunter</x:v>
      </x:c>
      <x:c r="C126" s="12" t="str">
        <x:f>'Weekly Projections'!B131</x:f>
        <x:v>MIA</x:v>
      </x:c>
      <x:c r="D126" s="12" t="str">
        <x:f>'Weekly Projections'!C131</x:f>
        <x:v>RB</x:v>
      </x:c>
      <x:c r="E126" s="12" t="str">
        <x:f>'Weekly Projections'!D131</x:f>
        <x:v>KC</x:v>
      </x:c>
      <x:c r="F126" s="13" t="n">
        <x:f>'Weekly Projections'!AW131</x:f>
        <x:v>1.8774412955465587</x:v>
      </x:c>
      <x:c r="G126" s="13" t="n">
        <x:f>'Weekly Projections'!AX131</x:f>
        <x:v>1.088915951417004</x:v>
      </x:c>
      <x:c r="H126" s="13" t="n">
        <x:f>'Weekly Projections'!AY131</x:f>
        <x:v>2.72228987854251</x:v>
      </x:c>
      <x:c r="I126" s="12" t="str">
        <x:f>'Weekly Projections'!H131</x:f>
        <x:v>ACTIVE</x:v>
      </x:c>
      <x:c r="J126" s="12" t="str">
        <x:f>'Weekly Projections'!AZ131</x:f>
        <x:v>High</x:v>
      </x:c>
      <x:c r="K126" s="12" t="n">
        <x:f>'Weekly Projections'!BA131</x:f>
        <x:v>10</x:v>
      </x:c>
      <x:c r="L126" s="12" t="n">
        <x:f>'Weekly Projections'!BC131</x:f>
        <x:v>89</x:v>
      </x:c>
      <x:c r="M126" s="12" t="str">
        <x:f>'Weekly Projections'!BD131</x:f>
        <x:v>→</x:v>
      </x:c>
    </x:row>
    <x:row r="127">
      <x:c r="A127" s="14" t="n">
        <x:f>'Weekly Projections'!BB135</x:f>
        <x:v>1</x:v>
      </x:c>
      <x:c r="B127" s="12" t="str">
        <x:f>'Weekly Projections'!A135</x:f>
        <x:v>Ja'Marr Chase</x:v>
      </x:c>
      <x:c r="C127" s="12" t="str">
        <x:f>'Weekly Projections'!B135</x:f>
        <x:v>CIN</x:v>
      </x:c>
      <x:c r="D127" s="12" t="str">
        <x:f>'Weekly Projections'!C135</x:f>
        <x:v>WR</x:v>
      </x:c>
      <x:c r="E127" s="12" t="str">
        <x:f>'Weekly Projections'!D135</x:f>
        <x:v>PIT</x:v>
      </x:c>
      <x:c r="F127" s="13" t="n">
        <x:f>'Weekly Projections'!AW135</x:f>
        <x:v>16.13945391304348</x:v>
      </x:c>
      <x:c r="G127" s="13" t="n">
        <x:f>'Weekly Projections'!AX135</x:f>
        <x:v>8.39251603478261</x:v>
      </x:c>
      <x:c r="H127" s="13" t="n">
        <x:f>'Weekly Projections'!AY135</x:f>
        <x:v>25.016153565217394</x:v>
      </x:c>
      <x:c r="I127" s="12" t="str">
        <x:f>'Weekly Projections'!H135</x:f>
        <x:v>ACTIVE</x:v>
      </x:c>
      <x:c r="J127" s="12" t="str">
        <x:f>'Weekly Projections'!AZ135</x:f>
        <x:v>High</x:v>
      </x:c>
      <x:c r="K127" s="12" t="n">
        <x:f>'Weekly Projections'!BA135</x:f>
        <x:v>1</x:v>
      </x:c>
      <x:c r="L127" s="12" t="n">
        <x:f>'Weekly Projections'!BC135</x:f>
        <x:v>1</x:v>
      </x:c>
      <x:c r="M127" s="12" t="str">
        <x:f>'Weekly Projections'!BD135</x:f>
        <x:v>→</x:v>
      </x:c>
    </x:row>
    <x:row r="128">
      <x:c r="A128" s="14" t="n">
        <x:f>'Weekly Projections'!BB136</x:f>
        <x:v>2</x:v>
      </x:c>
      <x:c r="B128" s="12" t="str">
        <x:f>'Weekly Projections'!A136</x:f>
        <x:v>Jaxon Smith-Njigba</x:v>
      </x:c>
      <x:c r="C128" s="12" t="str">
        <x:f>'Weekly Projections'!B136</x:f>
        <x:v>SEA</x:v>
      </x:c>
      <x:c r="D128" s="12" t="str">
        <x:f>'Weekly Projections'!C136</x:f>
        <x:v>WR</x:v>
      </x:c>
      <x:c r="E128" s="12" t="str">
        <x:f>'Weekly Projections'!D136</x:f>
        <x:v>WAS</x:v>
      </x:c>
      <x:c r="F128" s="13" t="n">
        <x:f>'Weekly Projections'!AW136</x:f>
        <x:v>15.863913043478263</x:v>
      </x:c>
      <x:c r="G128" s="13" t="n">
        <x:f>'Weekly Projections'!AX136</x:f>
        <x:v>8.249234782608697</x:v>
      </x:c>
      <x:c r="H128" s="13" t="n">
        <x:f>'Weekly Projections'!AY136</x:f>
        <x:v>24.58906521739131</x:v>
      </x:c>
      <x:c r="I128" s="12" t="str">
        <x:f>'Weekly Projections'!H136</x:f>
        <x:v>ACTIVE</x:v>
      </x:c>
      <x:c r="J128" s="12" t="str">
        <x:f>'Weekly Projections'!AZ136</x:f>
        <x:v>High</x:v>
      </x:c>
      <x:c r="K128" s="12" t="n">
        <x:f>'Weekly Projections'!BA136</x:f>
        <x:v>1</x:v>
      </x:c>
      <x:c r="L128" s="12" t="n">
        <x:f>'Weekly Projections'!BC136</x:f>
        <x:v>2</x:v>
      </x:c>
      <x:c r="M128" s="12" t="str">
        <x:f>'Weekly Projections'!BD136</x:f>
        <x:v>→</x:v>
      </x:c>
    </x:row>
    <x:row r="129">
      <x:c r="A129" s="14" t="n">
        <x:f>'Weekly Projections'!BB137</x:f>
        <x:v>3</x:v>
      </x:c>
      <x:c r="B129" s="12" t="str">
        <x:f>'Weekly Projections'!A137</x:f>
        <x:v>Amon-Ra St. Brown</x:v>
      </x:c>
      <x:c r="C129" s="12" t="str">
        <x:f>'Weekly Projections'!B137</x:f>
        <x:v>DET</x:v>
      </x:c>
      <x:c r="D129" s="12" t="str">
        <x:f>'Weekly Projections'!C137</x:f>
        <x:v>WR</x:v>
      </x:c>
      <x:c r="E129" s="12" t="str">
        <x:f>'Weekly Projections'!D137</x:f>
        <x:v>NYJ</x:v>
      </x:c>
      <x:c r="F129" s="13" t="n">
        <x:f>'Weekly Projections'!AW137</x:f>
        <x:v>15.714913043478258</x:v>
      </x:c>
      <x:c r="G129" s="13" t="n">
        <x:f>'Weekly Projections'!AX137</x:f>
        <x:v>8.171754782608694</x:v>
      </x:c>
      <x:c r="H129" s="13" t="n">
        <x:f>'Weekly Projections'!AY137</x:f>
        <x:v>24.3581152173913</x:v>
      </x:c>
      <x:c r="I129" s="12" t="str">
        <x:f>'Weekly Projections'!H137</x:f>
        <x:v>ACTIVE</x:v>
      </x:c>
      <x:c r="J129" s="12" t="str">
        <x:f>'Weekly Projections'!AZ137</x:f>
        <x:v>High</x:v>
      </x:c>
      <x:c r="K129" s="12" t="n">
        <x:f>'Weekly Projections'!BA137</x:f>
        <x:v>1</x:v>
      </x:c>
      <x:c r="L129" s="12" t="n">
        <x:f>'Weekly Projections'!BC137</x:f>
        <x:v>3</x:v>
      </x:c>
      <x:c r="M129" s="12" t="str">
        <x:f>'Weekly Projections'!BD137</x:f>
        <x:v>→</x:v>
      </x:c>
    </x:row>
    <x:row r="130">
      <x:c r="A130" s="14" t="n">
        <x:f>'Weekly Projections'!BB138</x:f>
        <x:v>4</x:v>
      </x:c>
      <x:c r="B130" s="12" t="str">
        <x:f>'Weekly Projections'!A138</x:f>
        <x:v>Justin Jefferson</x:v>
      </x:c>
      <x:c r="C130" s="12" t="str">
        <x:f>'Weekly Projections'!B138</x:f>
        <x:v>MIN</x:v>
      </x:c>
      <x:c r="D130" s="12" t="str">
        <x:f>'Weekly Projections'!C138</x:f>
        <x:v>WR</x:v>
      </x:c>
      <x:c r="E130" s="12" t="str">
        <x:f>'Weekly Projections'!D138</x:f>
        <x:v>TB</x:v>
      </x:c>
      <x:c r="F130" s="13" t="n">
        <x:f>'Weekly Projections'!AW138</x:f>
        <x:v>13.598935652173914</x:v>
      </x:c>
      <x:c r="G130" s="13" t="n">
        <x:f>'Weekly Projections'!AX138</x:f>
        <x:v>7.071446539130435</x:v>
      </x:c>
      <x:c r="H130" s="13" t="n">
        <x:f>'Weekly Projections'!AY138</x:f>
        <x:v>21.078350260869566</x:v>
      </x:c>
      <x:c r="I130" s="12" t="str">
        <x:f>'Weekly Projections'!H138</x:f>
        <x:v>ACTIVE</x:v>
      </x:c>
      <x:c r="J130" s="12" t="str">
        <x:f>'Weekly Projections'!AZ138</x:f>
        <x:v>High</x:v>
      </x:c>
      <x:c r="K130" s="12" t="n">
        <x:f>'Weekly Projections'!BA138</x:f>
        <x:v>1</x:v>
      </x:c>
      <x:c r="L130" s="12" t="n">
        <x:f>'Weekly Projections'!BC138</x:f>
        <x:v>4</x:v>
      </x:c>
      <x:c r="M130" s="12" t="str">
        <x:f>'Weekly Projections'!BD138</x:f>
        <x:v>→</x:v>
      </x:c>
    </x:row>
    <x:row r="131">
      <x:c r="A131" s="14" t="n">
        <x:f>'Weekly Projections'!BB153</x:f>
        <x:v>5</x:v>
      </x:c>
      <x:c r="B131" s="12" t="str">
        <x:f>'Weekly Projections'!A153</x:f>
        <x:v>Christian Watson</x:v>
      </x:c>
      <x:c r="C131" s="12" t="str">
        <x:f>'Weekly Projections'!B153</x:f>
        <x:v>GB</x:v>
      </x:c>
      <x:c r="D131" s="12" t="str">
        <x:f>'Weekly Projections'!C153</x:f>
        <x:v>WR</x:v>
      </x:c>
      <x:c r="E131" s="12" t="str">
        <x:f>'Weekly Projections'!D153</x:f>
        <x:v>ATL</x:v>
      </x:c>
      <x:c r="F131" s="13" t="n">
        <x:f>'Weekly Projections'!AW153</x:f>
        <x:v>12.723159420289855</x:v>
      </x:c>
      <x:c r="G131" s="13" t="n">
        <x:f>'Weekly Projections'!AX153</x:f>
        <x:v>6.616042898550725</x:v>
      </x:c>
      <x:c r="H131" s="13" t="n">
        <x:f>'Weekly Projections'!AY153</x:f>
        <x:v>19.720897101449275</x:v>
      </x:c>
      <x:c r="I131" s="12" t="str">
        <x:f>'Weekly Projections'!H153</x:f>
        <x:v>ACTIVE</x:v>
      </x:c>
      <x:c r="J131" s="12" t="str">
        <x:f>'Weekly Projections'!AZ153</x:f>
        <x:v>Moderate</x:v>
      </x:c>
      <x:c r="K131" s="12" t="n">
        <x:f>'Weekly Projections'!BA153</x:f>
        <x:v>2</x:v>
      </x:c>
      <x:c r="L131" s="12" t="n">
        <x:f>'Weekly Projections'!BC153</x:f>
        <x:v>11</x:v>
      </x:c>
      <x:c r="M131" s="12" t="str">
        <x:f>'Weekly Projections'!BD153</x:f>
        <x:v>↑</x:v>
      </x:c>
    </x:row>
    <x:row r="132">
      <x:c r="A132" s="14" t="n">
        <x:f>'Weekly Projections'!BB139</x:f>
        <x:v>6</x:v>
      </x:c>
      <x:c r="B132" s="12" t="str">
        <x:f>'Weekly Projections'!A139</x:f>
        <x:v>CeeDee Lamb</x:v>
      </x:c>
      <x:c r="C132" s="12" t="str">
        <x:f>'Weekly Projections'!B139</x:f>
        <x:v>DAL</x:v>
      </x:c>
      <x:c r="D132" s="12" t="str">
        <x:f>'Weekly Projections'!C139</x:f>
        <x:v>WR</x:v>
      </x:c>
      <x:c r="E132" s="12" t="str">
        <x:f>'Weekly Projections'!D139</x:f>
        <x:v>BAL</x:v>
      </x:c>
      <x:c r="F132" s="13" t="n">
        <x:f>'Weekly Projections'!AW139</x:f>
        <x:v>12.580173913043476</x:v>
      </x:c>
      <x:c r="G132" s="13" t="n">
        <x:f>'Weekly Projections'!AX139</x:f>
        <x:v>6.541690434782607</x:v>
      </x:c>
      <x:c r="H132" s="13" t="n">
        <x:f>'Weekly Projections'!AY139</x:f>
        <x:v>19.49926956521739</x:v>
      </x:c>
      <x:c r="I132" s="12" t="str">
        <x:f>'Weekly Projections'!H139</x:f>
        <x:v>ACTIVE</x:v>
      </x:c>
      <x:c r="J132" s="12" t="str">
        <x:f>'Weekly Projections'!AZ139</x:f>
        <x:v>High</x:v>
      </x:c>
      <x:c r="K132" s="12" t="n">
        <x:f>'Weekly Projections'!BA139</x:f>
        <x:v>1</x:v>
      </x:c>
      <x:c r="L132" s="12" t="n">
        <x:f>'Weekly Projections'!BC139</x:f>
        <x:v>5</x:v>
      </x:c>
      <x:c r="M132" s="12" t="str">
        <x:f>'Weekly Projections'!BD139</x:f>
        <x:v>↓</x:v>
      </x:c>
    </x:row>
    <x:row r="133">
      <x:c r="A133" s="14" t="n">
        <x:f>'Weekly Projections'!BB140</x:f>
        <x:v>7</x:v>
      </x:c>
      <x:c r="B133" s="12" t="str">
        <x:f>'Weekly Projections'!A140</x:f>
        <x:v>Rashee Rice</x:v>
      </x:c>
      <x:c r="C133" s="12" t="str">
        <x:f>'Weekly Projections'!B140</x:f>
        <x:v>KC</x:v>
      </x:c>
      <x:c r="D133" s="12" t="str">
        <x:f>'Weekly Projections'!C140</x:f>
        <x:v>WR</x:v>
      </x:c>
      <x:c r="E133" s="12" t="str">
        <x:f>'Weekly Projections'!D140</x:f>
        <x:v>MIA</x:v>
      </x:c>
      <x:c r="F133" s="13" t="n">
        <x:f>'Weekly Projections'!AW140</x:f>
        <x:v>12.257632173913043</x:v>
      </x:c>
      <x:c r="G133" s="13" t="n">
        <x:f>'Weekly Projections'!AX140</x:f>
        <x:v>6.3739687304347825</x:v>
      </x:c>
      <x:c r="H133" s="13" t="n">
        <x:f>'Weekly Projections'!AY140</x:f>
        <x:v>18.999329869565216</x:v>
      </x:c>
      <x:c r="I133" s="12" t="str">
        <x:f>'Weekly Projections'!H140</x:f>
        <x:v>ACTIVE</x:v>
      </x:c>
      <x:c r="J133" s="12" t="str">
        <x:f>'Weekly Projections'!AZ140</x:f>
        <x:v>High</x:v>
      </x:c>
      <x:c r="K133" s="12" t="n">
        <x:f>'Weekly Projections'!BA140</x:f>
        <x:v>1</x:v>
      </x:c>
      <x:c r="L133" s="12" t="n">
        <x:f>'Weekly Projections'!BC140</x:f>
        <x:v>6</x:v>
      </x:c>
      <x:c r="M133" s="12" t="str">
        <x:f>'Weekly Projections'!BD140</x:f>
        <x:v>↓</x:v>
      </x:c>
    </x:row>
    <x:row r="134">
      <x:c r="A134" s="14" t="n">
        <x:f>'Weekly Projections'!BB141</x:f>
        <x:v>8</x:v>
      </x:c>
      <x:c r="B134" s="12" t="str">
        <x:f>'Weekly Projections'!A141</x:f>
        <x:v>Drake London</x:v>
      </x:c>
      <x:c r="C134" s="12" t="str">
        <x:f>'Weekly Projections'!B141</x:f>
        <x:v>ATL</x:v>
      </x:c>
      <x:c r="D134" s="12" t="str">
        <x:f>'Weekly Projections'!C141</x:f>
        <x:v>WR</x:v>
      </x:c>
      <x:c r="E134" s="12" t="str">
        <x:f>'Weekly Projections'!D141</x:f>
        <x:v>GB</x:v>
      </x:c>
      <x:c r="F134" s="13" t="n">
        <x:f>'Weekly Projections'!AW141</x:f>
        <x:v>12.11080347826087</x:v>
      </x:c>
      <x:c r="G134" s="13" t="n">
        <x:f>'Weekly Projections'!AX141</x:f>
        <x:v>6.2976178086956525</x:v>
      </x:c>
      <x:c r="H134" s="13" t="n">
        <x:f>'Weekly Projections'!AY141</x:f>
        <x:v>18.77174539130435</x:v>
      </x:c>
      <x:c r="I134" s="12" t="str">
        <x:f>'Weekly Projections'!H141</x:f>
        <x:v>ACTIVE</x:v>
      </x:c>
      <x:c r="J134" s="12" t="str">
        <x:f>'Weekly Projections'!AZ141</x:f>
        <x:v>High</x:v>
      </x:c>
      <x:c r="K134" s="12" t="n">
        <x:f>'Weekly Projections'!BA141</x:f>
        <x:v>1</x:v>
      </x:c>
      <x:c r="L134" s="12" t="n">
        <x:f>'Weekly Projections'!BC141</x:f>
        <x:v>8</x:v>
      </x:c>
      <x:c r="M134" s="12" t="str">
        <x:f>'Weekly Projections'!BD141</x:f>
        <x:v>→</x:v>
      </x:c>
    </x:row>
    <x:row r="135">
      <x:c r="A135" s="14" t="n">
        <x:f>'Weekly Projections'!BB152</x:f>
        <x:v>9</x:v>
      </x:c>
      <x:c r="B135" s="12" t="str">
        <x:f>'Weekly Projections'!A152</x:f>
        <x:v>Davante Adams</x:v>
      </x:c>
      <x:c r="C135" s="12" t="str">
        <x:f>'Weekly Projections'!B152</x:f>
        <x:v>LAR</x:v>
      </x:c>
      <x:c r="D135" s="12" t="str">
        <x:f>'Weekly Projections'!C152</x:f>
        <x:v>WR</x:v>
      </x:c>
      <x:c r="E135" s="12" t="str">
        <x:f>'Weekly Projections'!D152</x:f>
        <x:v>DEN</x:v>
      </x:c>
      <x:c r="F135" s="13" t="n">
        <x:f>'Weekly Projections'!AW152</x:f>
        <x:v>11.8968272</x:v>
      </x:c>
      <x:c r="G135" s="13" t="n">
        <x:f>'Weekly Projections'!AX152</x:f>
        <x:v>6.186350144</x:v>
      </x:c>
      <x:c r="H135" s="13" t="n">
        <x:f>'Weekly Projections'!AY152</x:f>
        <x:v>18.440082160000003</x:v>
      </x:c>
      <x:c r="I135" s="12" t="str">
        <x:f>'Weekly Projections'!H152</x:f>
        <x:v>ACTIVE</x:v>
      </x:c>
      <x:c r="J135" s="12" t="str">
        <x:f>'Weekly Projections'!AZ152</x:f>
        <x:v>Moderate</x:v>
      </x:c>
      <x:c r="K135" s="12" t="n">
        <x:f>'Weekly Projections'!BA152</x:f>
        <x:v>2</x:v>
      </x:c>
      <x:c r="L135" s="12" t="n">
        <x:f>'Weekly Projections'!BC152</x:f>
        <x:v>20</x:v>
      </x:c>
      <x:c r="M135" s="12" t="str">
        <x:f>'Weekly Projections'!BD152</x:f>
        <x:v>↑</x:v>
      </x:c>
    </x:row>
    <x:row r="136">
      <x:c r="A136" s="14" t="n">
        <x:f>'Weekly Projections'!BB142</x:f>
        <x:v>10</x:v>
      </x:c>
      <x:c r="B136" s="12" t="str">
        <x:f>'Weekly Projections'!A142</x:f>
        <x:v>George Pickens</x:v>
      </x:c>
      <x:c r="C136" s="12" t="str">
        <x:f>'Weekly Projections'!B142</x:f>
        <x:v>DAL</x:v>
      </x:c>
      <x:c r="D136" s="12" t="str">
        <x:f>'Weekly Projections'!C142</x:f>
        <x:v>WR</x:v>
      </x:c>
      <x:c r="E136" s="12" t="str">
        <x:f>'Weekly Projections'!D142</x:f>
        <x:v>BAL</x:v>
      </x:c>
      <x:c r="F136" s="13" t="n">
        <x:f>'Weekly Projections'!AW142</x:f>
        <x:v>11.817739130434783</x:v>
      </x:c>
      <x:c r="G136" s="13" t="n">
        <x:f>'Weekly Projections'!AX142</x:f>
        <x:v>6.145224347826087</x:v>
      </x:c>
      <x:c r="H136" s="13" t="n">
        <x:f>'Weekly Projections'!AY142</x:f>
        <x:v>18.317495652173914</x:v>
      </x:c>
      <x:c r="I136" s="12" t="str">
        <x:f>'Weekly Projections'!H142</x:f>
        <x:v>ACTIVE</x:v>
      </x:c>
      <x:c r="J136" s="12" t="str">
        <x:f>'Weekly Projections'!AZ142</x:f>
        <x:v>High</x:v>
      </x:c>
      <x:c r="K136" s="12" t="n">
        <x:f>'Weekly Projections'!BA142</x:f>
        <x:v>1</x:v>
      </x:c>
      <x:c r="L136" s="12" t="n">
        <x:f>'Weekly Projections'!BC142</x:f>
        <x:v>9</x:v>
      </x:c>
      <x:c r="M136" s="12" t="str">
        <x:f>'Weekly Projections'!BD142</x:f>
        <x:v>↓</x:v>
      </x:c>
    </x:row>
    <x:row r="137">
      <x:c r="A137" s="14" t="n">
        <x:f>'Weekly Projections'!BB143</x:f>
        <x:v>11</x:v>
      </x:c>
      <x:c r="B137" s="12" t="str">
        <x:f>'Weekly Projections'!A143</x:f>
        <x:v>Chris Olave</x:v>
      </x:c>
      <x:c r="C137" s="12" t="str">
        <x:f>'Weekly Projections'!B143</x:f>
        <x:v>NO</x:v>
      </x:c>
      <x:c r="D137" s="12" t="str">
        <x:f>'Weekly Projections'!C143</x:f>
        <x:v>WR</x:v>
      </x:c>
      <x:c r="E137" s="12" t="str">
        <x:f>'Weekly Projections'!D143</x:f>
        <x:v>LV</x:v>
      </x:c>
      <x:c r="F137" s="13" t="n">
        <x:f>'Weekly Projections'!AW143</x:f>
        <x:v>11.79694782608696</x:v>
      </x:c>
      <x:c r="G137" s="13" t="n">
        <x:f>'Weekly Projections'!AX143</x:f>
        <x:v>6.134412869565219</x:v>
      </x:c>
      <x:c r="H137" s="13" t="n">
        <x:f>'Weekly Projections'!AY143</x:f>
        <x:v>18.285269130434788</x:v>
      </x:c>
      <x:c r="I137" s="12" t="str">
        <x:f>'Weekly Projections'!H143</x:f>
        <x:v>ACTIVE</x:v>
      </x:c>
      <x:c r="J137" s="12" t="str">
        <x:f>'Weekly Projections'!AZ143</x:f>
        <x:v>Moderate</x:v>
      </x:c>
      <x:c r="K137" s="12" t="n">
        <x:f>'Weekly Projections'!BA143</x:f>
        <x:v>1</x:v>
      </x:c>
      <x:c r="L137" s="12" t="n">
        <x:f>'Weekly Projections'!BC143</x:f>
        <x:v>10</x:v>
      </x:c>
      <x:c r="M137" s="12" t="str">
        <x:f>'Weekly Projections'!BD143</x:f>
        <x:v>↓</x:v>
      </x:c>
    </x:row>
    <x:row r="138">
      <x:c r="A138" s="14" t="n">
        <x:f>'Weekly Projections'!BB144</x:f>
        <x:v>12</x:v>
      </x:c>
      <x:c r="B138" s="12" t="str">
        <x:f>'Weekly Projections'!A144</x:f>
        <x:v>DeVonta Smith</x:v>
      </x:c>
      <x:c r="C138" s="12" t="str">
        <x:f>'Weekly Projections'!B144</x:f>
        <x:v>PHI</x:v>
      </x:c>
      <x:c r="D138" s="12" t="str">
        <x:f>'Weekly Projections'!C144</x:f>
        <x:v>WR</x:v>
      </x:c>
      <x:c r="E138" s="12" t="str">
        <x:f>'Weekly Projections'!D144</x:f>
        <x:v>CHI</x:v>
      </x:c>
      <x:c r="F138" s="13" t="n">
        <x:f>'Weekly Projections'!AW144</x:f>
        <x:v>11.227680000000003</x:v>
      </x:c>
      <x:c r="G138" s="13" t="n">
        <x:f>'Weekly Projections'!AX144</x:f>
        <x:v>5.838393600000002</x:v>
      </x:c>
      <x:c r="H138" s="13" t="n">
        <x:f>'Weekly Projections'!AY144</x:f>
        <x:v>17.402904000000007</x:v>
      </x:c>
      <x:c r="I138" s="12" t="str">
        <x:f>'Weekly Projections'!H144</x:f>
        <x:v>ACTIVE</x:v>
      </x:c>
      <x:c r="J138" s="12" t="str">
        <x:f>'Weekly Projections'!AZ144</x:f>
        <x:v>High</x:v>
      </x:c>
      <x:c r="K138" s="12" t="n">
        <x:f>'Weekly Projections'!BA144</x:f>
        <x:v>1</x:v>
      </x:c>
      <x:c r="L138" s="12" t="n">
        <x:f>'Weekly Projections'!BC144</x:f>
        <x:v>12</x:v>
      </x:c>
      <x:c r="M138" s="12" t="str">
        <x:f>'Weekly Projections'!BD144</x:f>
        <x:v>→</x:v>
      </x:c>
    </x:row>
    <x:row r="139">
      <x:c r="A139" s="14" t="n">
        <x:f>'Weekly Projections'!BB145</x:f>
        <x:v>13</x:v>
      </x:c>
      <x:c r="B139" s="12" t="str">
        <x:f>'Weekly Projections'!A145</x:f>
        <x:v>DJ Moore</x:v>
      </x:c>
      <x:c r="C139" s="12" t="str">
        <x:f>'Weekly Projections'!B145</x:f>
        <x:v>BUF</x:v>
      </x:c>
      <x:c r="D139" s="12" t="str">
        <x:f>'Weekly Projections'!C145</x:f>
        <x:v>WR</x:v>
      </x:c>
      <x:c r="E139" s="12" t="str">
        <x:f>'Weekly Projections'!D145</x:f>
        <x:v>LAC</x:v>
      </x:c>
      <x:c r="F139" s="13" t="n">
        <x:f>'Weekly Projections'!AW145</x:f>
        <x:v>10.793110724637682</x:v>
      </x:c>
      <x:c r="G139" s="13" t="n">
        <x:f>'Weekly Projections'!AX145</x:f>
        <x:v>5.612417576811595</x:v>
      </x:c>
      <x:c r="H139" s="13" t="n">
        <x:f>'Weekly Projections'!AY145</x:f>
        <x:v>16.729321623188408</x:v>
      </x:c>
      <x:c r="I139" s="12" t="str">
        <x:f>'Weekly Projections'!H145</x:f>
        <x:v>ACTIVE</x:v>
      </x:c>
      <x:c r="J139" s="12" t="str">
        <x:f>'Weekly Projections'!AZ145</x:f>
        <x:v>Moderate</x:v>
      </x:c>
      <x:c r="K139" s="12" t="n">
        <x:f>'Weekly Projections'!BA145</x:f>
        <x:v>1</x:v>
      </x:c>
      <x:c r="L139" s="12" t="n">
        <x:f>'Weekly Projections'!BC145</x:f>
        <x:v>13</x:v>
      </x:c>
      <x:c r="M139" s="12" t="str">
        <x:f>'Weekly Projections'!BD145</x:f>
        <x:v>→</x:v>
      </x:c>
    </x:row>
    <x:row r="140">
      <x:c r="A140" s="14" t="n">
        <x:f>'Weekly Projections'!BB146</x:f>
        <x:v>14</x:v>
      </x:c>
      <x:c r="B140" s="12" t="str">
        <x:f>'Weekly Projections'!A146</x:f>
        <x:v>Tee Higgins</x:v>
      </x:c>
      <x:c r="C140" s="12" t="str">
        <x:f>'Weekly Projections'!B146</x:f>
        <x:v>CIN</x:v>
      </x:c>
      <x:c r="D140" s="12" t="str">
        <x:f>'Weekly Projections'!C146</x:f>
        <x:v>WR</x:v>
      </x:c>
      <x:c r="E140" s="12" t="str">
        <x:f>'Weekly Projections'!D146</x:f>
        <x:v>PIT</x:v>
      </x:c>
      <x:c r="F140" s="13" t="n">
        <x:f>'Weekly Projections'!AW146</x:f>
        <x:v>10.726832173913042</x:v>
      </x:c>
      <x:c r="G140" s="13" t="n">
        <x:f>'Weekly Projections'!AX146</x:f>
        <x:v>5.577952730434782</x:v>
      </x:c>
      <x:c r="H140" s="13" t="n">
        <x:f>'Weekly Projections'!AY146</x:f>
        <x:v>16.626589869565215</x:v>
      </x:c>
      <x:c r="I140" s="12" t="str">
        <x:f>'Weekly Projections'!H146</x:f>
        <x:v>ACTIVE</x:v>
      </x:c>
      <x:c r="J140" s="12" t="str">
        <x:f>'Weekly Projections'!AZ146</x:f>
        <x:v>High</x:v>
      </x:c>
      <x:c r="K140" s="12" t="n">
        <x:f>'Weekly Projections'!BA146</x:f>
        <x:v>1</x:v>
      </x:c>
      <x:c r="L140" s="12" t="n">
        <x:f>'Weekly Projections'!BC146</x:f>
        <x:v>14</x:v>
      </x:c>
      <x:c r="M140" s="12" t="str">
        <x:f>'Weekly Projections'!BD146</x:f>
        <x:v>→</x:v>
      </x:c>
    </x:row>
    <x:row r="141">
      <x:c r="A141" s="14" t="n">
        <x:f>'Weekly Projections'!BB148</x:f>
        <x:v>15</x:v>
      </x:c>
      <x:c r="B141" s="12" t="str">
        <x:f>'Weekly Projections'!A148</x:f>
        <x:v>Garrett Wilson</x:v>
      </x:c>
      <x:c r="C141" s="12" t="str">
        <x:f>'Weekly Projections'!B148</x:f>
        <x:v>NYJ</x:v>
      </x:c>
      <x:c r="D141" s="12" t="str">
        <x:f>'Weekly Projections'!C148</x:f>
        <x:v>WR</x:v>
      </x:c>
      <x:c r="E141" s="12" t="str">
        <x:f>'Weekly Projections'!D148</x:f>
        <x:v>DET</x:v>
      </x:c>
      <x:c r="F141" s="13" t="n">
        <x:f>'Weekly Projections'!AW148</x:f>
        <x:v>10.673001739130436</x:v>
      </x:c>
      <x:c r="G141" s="13" t="n">
        <x:f>'Weekly Projections'!AX148</x:f>
        <x:v>5.549960904347827</x:v>
      </x:c>
      <x:c r="H141" s="13" t="n">
        <x:f>'Weekly Projections'!AY148</x:f>
        <x:v>16.543152695652175</x:v>
      </x:c>
      <x:c r="I141" s="12" t="str">
        <x:f>'Weekly Projections'!H148</x:f>
        <x:v>ACTIVE</x:v>
      </x:c>
      <x:c r="J141" s="12" t="str">
        <x:f>'Weekly Projections'!AZ148</x:f>
        <x:v>High</x:v>
      </x:c>
      <x:c r="K141" s="12" t="n">
        <x:f>'Weekly Projections'!BA148</x:f>
        <x:v>2</x:v>
      </x:c>
      <x:c r="L141" s="12" t="n">
        <x:f>'Weekly Projections'!BC148</x:f>
        <x:v>16</x:v>
      </x:c>
      <x:c r="M141" s="12" t="str">
        <x:f>'Weekly Projections'!BD148</x:f>
        <x:v>↑</x:v>
      </x:c>
    </x:row>
    <x:row r="142">
      <x:c r="A142" s="14" t="n">
        <x:f>'Weekly Projections'!BB149</x:f>
        <x:v>16</x:v>
      </x:c>
      <x:c r="B142" s="12" t="str">
        <x:f>'Weekly Projections'!A149</x:f>
        <x:v>Jameson Williams</x:v>
      </x:c>
      <x:c r="C142" s="12" t="str">
        <x:f>'Weekly Projections'!B149</x:f>
        <x:v>DET</x:v>
      </x:c>
      <x:c r="D142" s="12" t="str">
        <x:f>'Weekly Projections'!C149</x:f>
        <x:v>WR</x:v>
      </x:c>
      <x:c r="E142" s="12" t="str">
        <x:f>'Weekly Projections'!D149</x:f>
        <x:v>NYJ</x:v>
      </x:c>
      <x:c r="F142" s="13" t="n">
        <x:f>'Weekly Projections'!AW149</x:f>
        <x:v>10.581374782608696</x:v>
      </x:c>
      <x:c r="G142" s="13" t="n">
        <x:f>'Weekly Projections'!AX149</x:f>
        <x:v>5.502314886956523</x:v>
      </x:c>
      <x:c r="H142" s="13" t="n">
        <x:f>'Weekly Projections'!AY149</x:f>
        <x:v>16.40113091304348</x:v>
      </x:c>
      <x:c r="I142" s="12" t="str">
        <x:f>'Weekly Projections'!H149</x:f>
        <x:v>ACTIVE</x:v>
      </x:c>
      <x:c r="J142" s="12" t="str">
        <x:f>'Weekly Projections'!AZ149</x:f>
        <x:v>High</x:v>
      </x:c>
      <x:c r="K142" s="12" t="n">
        <x:f>'Weekly Projections'!BA149</x:f>
        <x:v>2</x:v>
      </x:c>
      <x:c r="L142" s="12" t="n">
        <x:f>'Weekly Projections'!BC149</x:f>
        <x:v>17</x:v>
      </x:c>
      <x:c r="M142" s="12" t="str">
        <x:f>'Weekly Projections'!BD149</x:f>
        <x:v>↑</x:v>
      </x:c>
    </x:row>
    <x:row r="143">
      <x:c r="A143" s="14" t="n">
        <x:f>'Weekly Projections'!BB150</x:f>
        <x:v>17</x:v>
      </x:c>
      <x:c r="B143" s="12" t="str">
        <x:f>'Weekly Projections'!A150</x:f>
        <x:v>Emeka Egbuka</x:v>
      </x:c>
      <x:c r="C143" s="12" t="str">
        <x:f>'Weekly Projections'!B150</x:f>
        <x:v>TB</x:v>
      </x:c>
      <x:c r="D143" s="12" t="str">
        <x:f>'Weekly Projections'!C150</x:f>
        <x:v>WR</x:v>
      </x:c>
      <x:c r="E143" s="12" t="str">
        <x:f>'Weekly Projections'!D150</x:f>
        <x:v>MIN</x:v>
      </x:c>
      <x:c r="F143" s="13" t="n">
        <x:f>'Weekly Projections'!AW150</x:f>
        <x:v>10.515384347826089</x:v>
      </x:c>
      <x:c r="G143" s="13" t="n">
        <x:f>'Weekly Projections'!AX150</x:f>
        <x:v>5.467999860869567</x:v>
      </x:c>
      <x:c r="H143" s="13" t="n">
        <x:f>'Weekly Projections'!AY150</x:f>
        <x:v>16.29884573913044</x:v>
      </x:c>
      <x:c r="I143" s="12" t="str">
        <x:f>'Weekly Projections'!H150</x:f>
        <x:v>ACTIVE</x:v>
      </x:c>
      <x:c r="J143" s="12" t="str">
        <x:f>'Weekly Projections'!AZ150</x:f>
        <x:v>High</x:v>
      </x:c>
      <x:c r="K143" s="12" t="n">
        <x:f>'Weekly Projections'!BA150</x:f>
        <x:v>2</x:v>
      </x:c>
      <x:c r="L143" s="12" t="n">
        <x:f>'Weekly Projections'!BC150</x:f>
        <x:v>18</x:v>
      </x:c>
      <x:c r="M143" s="12" t="str">
        <x:f>'Weekly Projections'!BD150</x:f>
        <x:v>↑</x:v>
      </x:c>
    </x:row>
    <x:row r="144">
      <x:c r="A144" s="14" t="n">
        <x:f>'Weekly Projections'!BB151</x:f>
        <x:v>18</x:v>
      </x:c>
      <x:c r="B144" s="12" t="str">
        <x:f>'Weekly Projections'!A151</x:f>
        <x:v>Marvin Harrison Jr.</x:v>
      </x:c>
      <x:c r="C144" s="12" t="str">
        <x:f>'Weekly Projections'!B151</x:f>
        <x:v>ARI</x:v>
      </x:c>
      <x:c r="D144" s="12" t="str">
        <x:f>'Weekly Projections'!C151</x:f>
        <x:v>WR</x:v>
      </x:c>
      <x:c r="E144" s="12" t="str">
        <x:f>'Weekly Projections'!D151</x:f>
        <x:v>SF</x:v>
      </x:c>
      <x:c r="F144" s="13" t="n">
        <x:f>'Weekly Projections'!AW151</x:f>
        <x:v>10.102260869565217</x:v>
      </x:c>
      <x:c r="G144" s="13" t="n">
        <x:f>'Weekly Projections'!AX151</x:f>
        <x:v>5.253175652173913</x:v>
      </x:c>
      <x:c r="H144" s="13" t="n">
        <x:f>'Weekly Projections'!AY151</x:f>
        <x:v>15.658504347826087</x:v>
      </x:c>
      <x:c r="I144" s="12" t="str">
        <x:f>'Weekly Projections'!H151</x:f>
        <x:v>ACTIVE</x:v>
      </x:c>
      <x:c r="J144" s="12" t="str">
        <x:f>'Weekly Projections'!AZ151</x:f>
        <x:v>High</x:v>
      </x:c>
      <x:c r="K144" s="12" t="n">
        <x:f>'Weekly Projections'!BA151</x:f>
        <x:v>2</x:v>
      </x:c>
      <x:c r="L144" s="12" t="n">
        <x:f>'Weekly Projections'!BC151</x:f>
        <x:v>19</x:v>
      </x:c>
      <x:c r="M144" s="12" t="str">
        <x:f>'Weekly Projections'!BD151</x:f>
        <x:v>↑</x:v>
      </x:c>
    </x:row>
    <x:row r="145">
      <x:c r="A145" s="14" t="n">
        <x:f>'Weekly Projections'!BB162</x:f>
        <x:v>19</x:v>
      </x:c>
      <x:c r="B145" s="12" t="str">
        <x:f>'Weekly Projections'!A162</x:f>
        <x:v>Matthew Golden</x:v>
      </x:c>
      <x:c r="C145" s="12" t="str">
        <x:f>'Weekly Projections'!B162</x:f>
        <x:v>GB</x:v>
      </x:c>
      <x:c r="D145" s="12" t="str">
        <x:f>'Weekly Projections'!C162</x:f>
        <x:v>WR</x:v>
      </x:c>
      <x:c r="E145" s="12" t="str">
        <x:f>'Weekly Projections'!D162</x:f>
        <x:v>ATL</x:v>
      </x:c>
      <x:c r="F145" s="13" t="n">
        <x:f>'Weekly Projections'!AW162</x:f>
        <x:v>9.875420289855072</x:v>
      </x:c>
      <x:c r="G145" s="13" t="n">
        <x:f>'Weekly Projections'!AX162</x:f>
        <x:v>5.1352185507246375</x:v>
      </x:c>
      <x:c r="H145" s="13" t="n">
        <x:f>'Weekly Projections'!AY162</x:f>
        <x:v>15.306901449275362</x:v>
      </x:c>
      <x:c r="I145" s="12" t="str">
        <x:f>'Weekly Projections'!H162</x:f>
        <x:v>ACTIVE</x:v>
      </x:c>
      <x:c r="J145" s="12" t="str">
        <x:f>'Weekly Projections'!AZ162</x:f>
        <x:v>Moderate</x:v>
      </x:c>
      <x:c r="K145" s="12" t="n">
        <x:f>'Weekly Projections'!BA162</x:f>
        <x:v>3</x:v>
      </x:c>
      <x:c r="L145" s="12" t="n">
        <x:f>'Weekly Projections'!BC162</x:f>
        <x:v>7</x:v>
      </x:c>
      <x:c r="M145" s="12" t="str">
        <x:f>'Weekly Projections'!BD162</x:f>
        <x:v>↓</x:v>
      </x:c>
    </x:row>
    <x:row r="146">
      <x:c r="A146" s="14" t="n">
        <x:f>'Weekly Projections'!BB154</x:f>
        <x:v>20</x:v>
      </x:c>
      <x:c r="B146" s="12" t="str">
        <x:f>'Weekly Projections'!A154</x:f>
        <x:v>Tetairoa McMillan</x:v>
      </x:c>
      <x:c r="C146" s="12" t="str">
        <x:f>'Weekly Projections'!B154</x:f>
        <x:v>CAR</x:v>
      </x:c>
      <x:c r="D146" s="12" t="str">
        <x:f>'Weekly Projections'!C154</x:f>
        <x:v>WR</x:v>
      </x:c>
      <x:c r="E146" s="12" t="str">
        <x:f>'Weekly Projections'!D154</x:f>
        <x:v>CLE</x:v>
      </x:c>
      <x:c r="F146" s="13" t="n">
        <x:f>'Weekly Projections'!AW154</x:f>
        <x:v>9.8384</x:v>
      </x:c>
      <x:c r="G146" s="13" t="n">
        <x:f>'Weekly Projections'!AX154</x:f>
        <x:v>5.1159680000000005</x:v>
      </x:c>
      <x:c r="H146" s="13" t="n">
        <x:f>'Weekly Projections'!AY154</x:f>
        <x:v>15.24952</x:v>
      </x:c>
      <x:c r="I146" s="12" t="str">
        <x:f>'Weekly Projections'!H154</x:f>
        <x:v>ACTIVE</x:v>
      </x:c>
      <x:c r="J146" s="12" t="str">
        <x:f>'Weekly Projections'!AZ154</x:f>
        <x:v>High</x:v>
      </x:c>
      <x:c r="K146" s="12" t="n">
        <x:f>'Weekly Projections'!BA154</x:f>
        <x:v>2</x:v>
      </x:c>
      <x:c r="L146" s="12" t="n">
        <x:f>'Weekly Projections'!BC154</x:f>
        <x:v>21</x:v>
      </x:c>
      <x:c r="M146" s="12" t="str">
        <x:f>'Weekly Projections'!BD154</x:f>
        <x:v>↑</x:v>
      </x:c>
    </x:row>
    <x:row r="147">
      <x:c r="A147" s="14" t="n">
        <x:f>'Weekly Projections'!BB158</x:f>
        <x:v>21</x:v>
      </x:c>
      <x:c r="B147" s="12" t="str">
        <x:f>'Weekly Projections'!A158</x:f>
        <x:v>Terry McLaurin</x:v>
      </x:c>
      <x:c r="C147" s="12" t="str">
        <x:f>'Weekly Projections'!B158</x:f>
        <x:v>WAS</x:v>
      </x:c>
      <x:c r="D147" s="12" t="str">
        <x:f>'Weekly Projections'!C158</x:f>
        <x:v>WR</x:v>
      </x:c>
      <x:c r="E147" s="12" t="str">
        <x:f>'Weekly Projections'!D158</x:f>
        <x:v>SEA</x:v>
      </x:c>
      <x:c r="F147" s="13" t="n">
        <x:f>'Weekly Projections'!AW158</x:f>
        <x:v>9.324989565217392</x:v>
      </x:c>
      <x:c r="G147" s="13" t="n">
        <x:f>'Weekly Projections'!AX158</x:f>
        <x:v>4.848994573913044</x:v>
      </x:c>
      <x:c r="H147" s="13" t="n">
        <x:f>'Weekly Projections'!AY158</x:f>
        <x:v>14.453733826086957</x:v>
      </x:c>
      <x:c r="I147" s="12" t="str">
        <x:f>'Weekly Projections'!H158</x:f>
        <x:v>ACTIVE</x:v>
      </x:c>
      <x:c r="J147" s="12" t="str">
        <x:f>'Weekly Projections'!AZ158</x:f>
        <x:v>High</x:v>
      </x:c>
      <x:c r="K147" s="12" t="n">
        <x:f>'Weekly Projections'!BA158</x:f>
        <x:v>2</x:v>
      </x:c>
      <x:c r="L147" s="12" t="n">
        <x:f>'Weekly Projections'!BC158</x:f>
        <x:v>25</x:v>
      </x:c>
      <x:c r="M147" s="12" t="str">
        <x:f>'Weekly Projections'!BD158</x:f>
        <x:v>↑</x:v>
      </x:c>
    </x:row>
    <x:row r="148">
      <x:c r="A148" s="14" t="n">
        <x:f>'Weekly Projections'!BB159</x:f>
        <x:v>22</x:v>
      </x:c>
      <x:c r="B148" s="12" t="str">
        <x:f>'Weekly Projections'!A159</x:f>
        <x:v>DK Metcalf</x:v>
      </x:c>
      <x:c r="C148" s="12" t="str">
        <x:f>'Weekly Projections'!B159</x:f>
        <x:v>PIT</x:v>
      </x:c>
      <x:c r="D148" s="12" t="str">
        <x:f>'Weekly Projections'!C159</x:f>
        <x:v>WR</x:v>
      </x:c>
      <x:c r="E148" s="12" t="str">
        <x:f>'Weekly Projections'!D159</x:f>
        <x:v>CIN</x:v>
      </x:c>
      <x:c r="F148" s="13" t="n">
        <x:f>'Weekly Projections'!AW159</x:f>
        <x:v>9.227217391304348</x:v>
      </x:c>
      <x:c r="G148" s="13" t="n">
        <x:f>'Weekly Projections'!AX159</x:f>
        <x:v>4.798153043478261</x:v>
      </x:c>
      <x:c r="H148" s="13" t="n">
        <x:f>'Weekly Projections'!AY159</x:f>
        <x:v>14.30218695652174</x:v>
      </x:c>
      <x:c r="I148" s="12" t="str">
        <x:f>'Weekly Projections'!H159</x:f>
        <x:v>ACTIVE</x:v>
      </x:c>
      <x:c r="J148" s="12" t="str">
        <x:f>'Weekly Projections'!AZ159</x:f>
        <x:v>High</x:v>
      </x:c>
      <x:c r="K148" s="12" t="n">
        <x:f>'Weekly Projections'!BA159</x:f>
        <x:v>3</x:v>
      </x:c>
      <x:c r="L148" s="12" t="n">
        <x:f>'Weekly Projections'!BC159</x:f>
        <x:v>26</x:v>
      </x:c>
      <x:c r="M148" s="12" t="str">
        <x:f>'Weekly Projections'!BD159</x:f>
        <x:v>↑</x:v>
      </x:c>
    </x:row>
    <x:row r="149">
      <x:c r="A149" s="14" t="n">
        <x:f>'Weekly Projections'!BB160</x:f>
        <x:v>23</x:v>
      </x:c>
      <x:c r="B149" s="12" t="str">
        <x:f>'Weekly Projections'!A160</x:f>
        <x:v>Jaylen Waddle</x:v>
      </x:c>
      <x:c r="C149" s="12" t="str">
        <x:f>'Weekly Projections'!B160</x:f>
        <x:v>DEN</x:v>
      </x:c>
      <x:c r="D149" s="12" t="str">
        <x:f>'Weekly Projections'!C160</x:f>
        <x:v>WR</x:v>
      </x:c>
      <x:c r="E149" s="12" t="str">
        <x:f>'Weekly Projections'!D160</x:f>
        <x:v>LAR</x:v>
      </x:c>
      <x:c r="F149" s="13" t="n">
        <x:f>'Weekly Projections'!AW160</x:f>
        <x:v>9.154434782608698</x:v>
      </x:c>
      <x:c r="G149" s="13" t="n">
        <x:f>'Weekly Projections'!AX160</x:f>
        <x:v>4.760306086956523</x:v>
      </x:c>
      <x:c r="H149" s="13" t="n">
        <x:f>'Weekly Projections'!AY160</x:f>
        <x:v>14.189373913043482</x:v>
      </x:c>
      <x:c r="I149" s="12" t="str">
        <x:f>'Weekly Projections'!H160</x:f>
        <x:v>ACTIVE</x:v>
      </x:c>
      <x:c r="J149" s="12" t="str">
        <x:f>'Weekly Projections'!AZ160</x:f>
        <x:v>High</x:v>
      </x:c>
      <x:c r="K149" s="12" t="n">
        <x:f>'Weekly Projections'!BA160</x:f>
        <x:v>3</x:v>
      </x:c>
      <x:c r="L149" s="12" t="n">
        <x:f>'Weekly Projections'!BC160</x:f>
        <x:v>27</x:v>
      </x:c>
      <x:c r="M149" s="12" t="str">
        <x:f>'Weekly Projections'!BD160</x:f>
        <x:v>↑</x:v>
      </x:c>
    </x:row>
    <x:row r="150">
      <x:c r="A150" s="14" t="n">
        <x:f>'Weekly Projections'!BB161</x:f>
        <x:v>24</x:v>
      </x:c>
      <x:c r="B150" s="12" t="str">
        <x:f>'Weekly Projections'!A161</x:f>
        <x:v>Mike Evans</x:v>
      </x:c>
      <x:c r="C150" s="12" t="str">
        <x:f>'Weekly Projections'!B161</x:f>
        <x:v>SF</x:v>
      </x:c>
      <x:c r="D150" s="12" t="str">
        <x:f>'Weekly Projections'!C161</x:f>
        <x:v>WR</x:v>
      </x:c>
      <x:c r="E150" s="12" t="str">
        <x:f>'Weekly Projections'!D161</x:f>
        <x:v>ARI</x:v>
      </x:c>
      <x:c r="F150" s="13" t="n">
        <x:f>'Weekly Projections'!AW161</x:f>
        <x:v>9.140869565217391</x:v>
      </x:c>
      <x:c r="G150" s="13" t="n">
        <x:f>'Weekly Projections'!AX161</x:f>
        <x:v>4.753252173913044</x:v>
      </x:c>
      <x:c r="H150" s="13" t="n">
        <x:f>'Weekly Projections'!AY161</x:f>
        <x:v>14.168347826086958</x:v>
      </x:c>
      <x:c r="I150" s="12" t="str">
        <x:f>'Weekly Projections'!H161</x:f>
        <x:v>ACTIVE</x:v>
      </x:c>
      <x:c r="J150" s="12" t="str">
        <x:f>'Weekly Projections'!AZ161</x:f>
        <x:v>High</x:v>
      </x:c>
      <x:c r="K150" s="12" t="n">
        <x:f>'Weekly Projections'!BA161</x:f>
        <x:v>3</x:v>
      </x:c>
      <x:c r="L150" s="12" t="n">
        <x:f>'Weekly Projections'!BC161</x:f>
        <x:v>28</x:v>
      </x:c>
      <x:c r="M150" s="12" t="str">
        <x:f>'Weekly Projections'!BD161</x:f>
        <x:v>↑</x:v>
      </x:c>
    </x:row>
    <x:row r="151">
      <x:c r="A151" s="14" t="n">
        <x:f>'Weekly Projections'!BB163</x:f>
        <x:v>25</x:v>
      </x:c>
      <x:c r="B151" s="12" t="str">
        <x:f>'Weekly Projections'!A163</x:f>
        <x:v>Ladd McConkey</x:v>
      </x:c>
      <x:c r="C151" s="12" t="str">
        <x:f>'Weekly Projections'!B163</x:f>
        <x:v>LAC</x:v>
      </x:c>
      <x:c r="D151" s="12" t="str">
        <x:f>'Weekly Projections'!C163</x:f>
        <x:v>WR</x:v>
      </x:c>
      <x:c r="E151" s="12" t="str">
        <x:f>'Weekly Projections'!D163</x:f>
        <x:v>BUF</x:v>
      </x:c>
      <x:c r="F151" s="13" t="n">
        <x:f>'Weekly Projections'!AW163</x:f>
        <x:v>8.964849855072465</x:v>
      </x:c>
      <x:c r="G151" s="13" t="n">
        <x:f>'Weekly Projections'!AX163</x:f>
        <x:v>4.661721924637682</x:v>
      </x:c>
      <x:c r="H151" s="13" t="n">
        <x:f>'Weekly Projections'!AY163</x:f>
        <x:v>13.895517275362321</x:v>
      </x:c>
      <x:c r="I151" s="12" t="str">
        <x:f>'Weekly Projections'!H163</x:f>
        <x:v>ACTIVE</x:v>
      </x:c>
      <x:c r="J151" s="12" t="str">
        <x:f>'Weekly Projections'!AZ163</x:f>
        <x:v>Moderate</x:v>
      </x:c>
      <x:c r="K151" s="12" t="n">
        <x:f>'Weekly Projections'!BA163</x:f>
        <x:v>3</x:v>
      </x:c>
      <x:c r="L151" s="12" t="n">
        <x:f>'Weekly Projections'!BC163</x:f>
        <x:v>29</x:v>
      </x:c>
      <x:c r="M151" s="12" t="str">
        <x:f>'Weekly Projections'!BD163</x:f>
        <x:v>↑</x:v>
      </x:c>
    </x:row>
    <x:row r="152">
      <x:c r="A152" s="14" t="n">
        <x:f>'Weekly Projections'!BB164</x:f>
        <x:v>26</x:v>
      </x:c>
      <x:c r="B152" s="12" t="str">
        <x:f>'Weekly Projections'!A164</x:f>
        <x:v>Courtland Sutton</x:v>
      </x:c>
      <x:c r="C152" s="12" t="str">
        <x:f>'Weekly Projections'!B164</x:f>
        <x:v>DEN</x:v>
      </x:c>
      <x:c r="D152" s="12" t="str">
        <x:f>'Weekly Projections'!C164</x:f>
        <x:v>WR</x:v>
      </x:c>
      <x:c r="E152" s="12" t="str">
        <x:f>'Weekly Projections'!D164</x:f>
        <x:v>LAR</x:v>
      </x:c>
      <x:c r="F152" s="13" t="n">
        <x:f>'Weekly Projections'!AW164</x:f>
        <x:v>8.957565217391306</x:v>
      </x:c>
      <x:c r="G152" s="13" t="n">
        <x:f>'Weekly Projections'!AX164</x:f>
        <x:v>4.657933913043479</x:v>
      </x:c>
      <x:c r="H152" s="13" t="n">
        <x:f>'Weekly Projections'!AY164</x:f>
        <x:v>13.884226086956524</x:v>
      </x:c>
      <x:c r="I152" s="12" t="str">
        <x:f>'Weekly Projections'!H164</x:f>
        <x:v>ACTIVE</x:v>
      </x:c>
      <x:c r="J152" s="12" t="str">
        <x:f>'Weekly Projections'!AZ164</x:f>
        <x:v>High</x:v>
      </x:c>
      <x:c r="K152" s="12" t="n">
        <x:f>'Weekly Projections'!BA164</x:f>
        <x:v>3</x:v>
      </x:c>
      <x:c r="L152" s="12" t="n">
        <x:f>'Weekly Projections'!BC164</x:f>
        <x:v>30</x:v>
      </x:c>
      <x:c r="M152" s="12" t="str">
        <x:f>'Weekly Projections'!BD164</x:f>
        <x:v>↑</x:v>
      </x:c>
    </x:row>
    <x:row r="153">
      <x:c r="A153" s="14" t="n">
        <x:f>'Weekly Projections'!BB165</x:f>
        <x:v>27</x:v>
      </x:c>
      <x:c r="B153" s="12" t="str">
        <x:f>'Weekly Projections'!A165</x:f>
        <x:v>Wan'Dale Robinson</x:v>
      </x:c>
      <x:c r="C153" s="12" t="str">
        <x:f>'Weekly Projections'!B165</x:f>
        <x:v>TEN</x:v>
      </x:c>
      <x:c r="D153" s="12" t="str">
        <x:f>'Weekly Projections'!C165</x:f>
        <x:v>WR</x:v>
      </x:c>
      <x:c r="E153" s="12" t="str">
        <x:f>'Weekly Projections'!D165</x:f>
        <x:v>NYG</x:v>
      </x:c>
      <x:c r="F153" s="13" t="n">
        <x:f>'Weekly Projections'!AW165</x:f>
        <x:v>8.921113043478261</x:v>
      </x:c>
      <x:c r="G153" s="13" t="n">
        <x:f>'Weekly Projections'!AX165</x:f>
        <x:v>4.638978782608696</x:v>
      </x:c>
      <x:c r="H153" s="13" t="n">
        <x:f>'Weekly Projections'!AY165</x:f>
        <x:v>13.827725217391306</x:v>
      </x:c>
      <x:c r="I153" s="12" t="str">
        <x:f>'Weekly Projections'!H165</x:f>
        <x:v>ACTIVE</x:v>
      </x:c>
      <x:c r="J153" s="12" t="str">
        <x:f>'Weekly Projections'!AZ165</x:f>
        <x:v>High</x:v>
      </x:c>
      <x:c r="K153" s="12" t="n">
        <x:f>'Weekly Projections'!BA165</x:f>
        <x:v>3</x:v>
      </x:c>
      <x:c r="L153" s="12" t="n">
        <x:f>'Weekly Projections'!BC165</x:f>
        <x:v>31</x:v>
      </x:c>
      <x:c r="M153" s="12" t="str">
        <x:f>'Weekly Projections'!BD165</x:f>
        <x:v>↑</x:v>
      </x:c>
    </x:row>
    <x:row r="154">
      <x:c r="A154" s="14" t="n">
        <x:f>'Weekly Projections'!BB166</x:f>
        <x:v>28</x:v>
      </x:c>
      <x:c r="B154" s="12" t="str">
        <x:f>'Weekly Projections'!A166</x:f>
        <x:v>Parker Washington</x:v>
      </x:c>
      <x:c r="C154" s="12" t="str">
        <x:f>'Weekly Projections'!B166</x:f>
        <x:v>JAC</x:v>
      </x:c>
      <x:c r="D154" s="12" t="str">
        <x:f>'Weekly Projections'!C166</x:f>
        <x:v>WR</x:v>
      </x:c>
      <x:c r="E154" s="12" t="str">
        <x:f>'Weekly Projections'!D166</x:f>
        <x:v>NE</x:v>
      </x:c>
      <x:c r="F154" s="13" t="n">
        <x:f>'Weekly Projections'!AW166</x:f>
        <x:v>8.73113043478261</x:v>
      </x:c>
      <x:c r="G154" s="13" t="n">
        <x:f>'Weekly Projections'!AX166</x:f>
        <x:v>4.5401878260869575</x:v>
      </x:c>
      <x:c r="H154" s="13" t="n">
        <x:f>'Weekly Projections'!AY166</x:f>
        <x:v>13.533252173913047</x:v>
      </x:c>
      <x:c r="I154" s="12" t="str">
        <x:f>'Weekly Projections'!H166</x:f>
        <x:v>ACTIVE</x:v>
      </x:c>
      <x:c r="J154" s="12" t="str">
        <x:f>'Weekly Projections'!AZ166</x:f>
        <x:v>High</x:v>
      </x:c>
      <x:c r="K154" s="12" t="n">
        <x:f>'Weekly Projections'!BA166</x:f>
        <x:v>3</x:v>
      </x:c>
      <x:c r="L154" s="12" t="n">
        <x:f>'Weekly Projections'!BC166</x:f>
        <x:v>32</x:v>
      </x:c>
      <x:c r="M154" s="12" t="str">
        <x:f>'Weekly Projections'!BD166</x:f>
        <x:v>↑</x:v>
      </x:c>
    </x:row>
    <x:row r="155">
      <x:c r="A155" s="14" t="n">
        <x:f>'Weekly Projections'!BB155</x:f>
        <x:v>29</x:v>
      </x:c>
      <x:c r="B155" s="12" t="str">
        <x:f>'Weekly Projections'!A155</x:f>
        <x:v>Malik Nabers</x:v>
      </x:c>
      <x:c r="C155" s="12" t="str">
        <x:f>'Weekly Projections'!B155</x:f>
        <x:v>NYG</x:v>
      </x:c>
      <x:c r="D155" s="12" t="str">
        <x:f>'Weekly Projections'!C155</x:f>
        <x:v>WR</x:v>
      </x:c>
      <x:c r="E155" s="12" t="str">
        <x:f>'Weekly Projections'!D155</x:f>
        <x:v>TEN</x:v>
      </x:c>
      <x:c r="F155" s="13" t="n">
        <x:f>'Weekly Projections'!AW155</x:f>
        <x:v>8.70413843478261</x:v>
      </x:c>
      <x:c r="G155" s="13" t="n">
        <x:f>'Weekly Projections'!AX155</x:f>
        <x:v>4.5261519860869575</x:v>
      </x:c>
      <x:c r="H155" s="13" t="n">
        <x:f>'Weekly Projections'!AY155</x:f>
        <x:v>13.491414573913046</x:v>
      </x:c>
      <x:c r="I155" s="12" t="str">
        <x:f>'Weekly Projections'!H155</x:f>
        <x:v>ACTIVE</x:v>
      </x:c>
      <x:c r="J155" s="12" t="str">
        <x:f>'Weekly Projections'!AZ155</x:f>
        <x:v>Moderate</x:v>
      </x:c>
      <x:c r="K155" s="12" t="n">
        <x:f>'Weekly Projections'!BA155</x:f>
        <x:v>2</x:v>
      </x:c>
      <x:c r="L155" s="12" t="n">
        <x:f>'Weekly Projections'!BC155</x:f>
        <x:v>22</x:v>
      </x:c>
      <x:c r="M155" s="12" t="str">
        <x:f>'Weekly Projections'!BD155</x:f>
        <x:v>↓</x:v>
      </x:c>
    </x:row>
    <x:row r="156">
      <x:c r="A156" s="14" t="n">
        <x:f>'Weekly Projections'!BB147</x:f>
        <x:v>30</x:v>
      </x:c>
      <x:c r="B156" s="12" t="str">
        <x:f>'Weekly Projections'!A147</x:f>
        <x:v>Rome Odunze</x:v>
      </x:c>
      <x:c r="C156" s="12" t="str">
        <x:f>'Weekly Projections'!B147</x:f>
        <x:v>CHI</x:v>
      </x:c>
      <x:c r="D156" s="12" t="str">
        <x:f>'Weekly Projections'!C147</x:f>
        <x:v>WR</x:v>
      </x:c>
      <x:c r="E156" s="12" t="str">
        <x:f>'Weekly Projections'!D147</x:f>
        <x:v>PHI</x:v>
      </x:c>
      <x:c r="F156" s="13" t="n">
        <x:f>'Weekly Projections'!AW147</x:f>
        <x:v>8.542277101449276</x:v>
      </x:c>
      <x:c r="G156" s="13" t="n">
        <x:f>'Weekly Projections'!AX147</x:f>
        <x:v>4.441984092753624</x:v>
      </x:c>
      <x:c r="H156" s="13" t="n">
        <x:f>'Weekly Projections'!AY147</x:f>
        <x:v>13.240529507246379</x:v>
      </x:c>
      <x:c r="I156" s="12" t="str">
        <x:f>'Weekly Projections'!H147</x:f>
        <x:v>ACTIVE</x:v>
      </x:c>
      <x:c r="J156" s="12" t="str">
        <x:f>'Weekly Projections'!AZ147</x:f>
        <x:v>Moderate</x:v>
      </x:c>
      <x:c r="K156" s="12" t="n">
        <x:f>'Weekly Projections'!BA147</x:f>
        <x:v>2</x:v>
      </x:c>
      <x:c r="L156" s="12" t="n">
        <x:f>'Weekly Projections'!BC147</x:f>
        <x:v>15</x:v>
      </x:c>
      <x:c r="M156" s="12" t="str">
        <x:f>'Weekly Projections'!BD147</x:f>
        <x:v>↓</x:v>
      </x:c>
    </x:row>
    <x:row r="157">
      <x:c r="A157" s="14" t="n">
        <x:f>'Weekly Projections'!BB167</x:f>
        <x:v>31</x:v>
      </x:c>
      <x:c r="B157" s="12" t="str">
        <x:f>'Weekly Projections'!A167</x:f>
        <x:v>Brian Thomas Jr.</x:v>
      </x:c>
      <x:c r="C157" s="12" t="str">
        <x:f>'Weekly Projections'!B167</x:f>
        <x:v>JAC</x:v>
      </x:c>
      <x:c r="D157" s="12" t="str">
        <x:f>'Weekly Projections'!C167</x:f>
        <x:v>WR</x:v>
      </x:c>
      <x:c r="E157" s="12" t="str">
        <x:f>'Weekly Projections'!D167</x:f>
        <x:v>NE</x:v>
      </x:c>
      <x:c r="F157" s="13" t="n">
        <x:f>'Weekly Projections'!AW167</x:f>
        <x:v>8.433478260869565</x:v>
      </x:c>
      <x:c r="G157" s="13" t="n">
        <x:f>'Weekly Projections'!AX167</x:f>
        <x:v>4.385408695652174</x:v>
      </x:c>
      <x:c r="H157" s="13" t="n">
        <x:f>'Weekly Projections'!AY167</x:f>
        <x:v>13.071891304347826</x:v>
      </x:c>
      <x:c r="I157" s="12" t="str">
        <x:f>'Weekly Projections'!H167</x:f>
        <x:v>ACTIVE</x:v>
      </x:c>
      <x:c r="J157" s="12" t="str">
        <x:f>'Weekly Projections'!AZ167</x:f>
        <x:v>High</x:v>
      </x:c>
      <x:c r="K157" s="12" t="n">
        <x:f>'Weekly Projections'!BA167</x:f>
        <x:v>3</x:v>
      </x:c>
      <x:c r="L157" s="12" t="n">
        <x:f>'Weekly Projections'!BC167</x:f>
        <x:v>33</x:v>
      </x:c>
      <x:c r="M157" s="12" t="str">
        <x:f>'Weekly Projections'!BD167</x:f>
        <x:v>↑</x:v>
      </x:c>
    </x:row>
    <x:row r="158">
      <x:c r="A158" s="14" t="n">
        <x:f>'Weekly Projections'!BB168</x:f>
        <x:v>32</x:v>
      </x:c>
      <x:c r="B158" s="12" t="str">
        <x:f>'Weekly Projections'!A168</x:f>
        <x:v>Michael Pittman Jr.</x:v>
      </x:c>
      <x:c r="C158" s="12" t="str">
        <x:f>'Weekly Projections'!B168</x:f>
        <x:v>PIT</x:v>
      </x:c>
      <x:c r="D158" s="12" t="str">
        <x:f>'Weekly Projections'!C168</x:f>
        <x:v>WR</x:v>
      </x:c>
      <x:c r="E158" s="12" t="str">
        <x:f>'Weekly Projections'!D168</x:f>
        <x:v>CIN</x:v>
      </x:c>
      <x:c r="F158" s="13" t="n">
        <x:f>'Weekly Projections'!AW168</x:f>
        <x:v>8.300923826086958</x:v>
      </x:c>
      <x:c r="G158" s="13" t="n">
        <x:f>'Weekly Projections'!AX168</x:f>
        <x:v>4.316480389565219</x:v>
      </x:c>
      <x:c r="H158" s="13" t="n">
        <x:f>'Weekly Projections'!AY168</x:f>
        <x:v>12.866431930434786</x:v>
      </x:c>
      <x:c r="I158" s="12" t="str">
        <x:f>'Weekly Projections'!H168</x:f>
        <x:v>ACTIVE</x:v>
      </x:c>
      <x:c r="J158" s="12" t="str">
        <x:f>'Weekly Projections'!AZ168</x:f>
        <x:v>Moderate</x:v>
      </x:c>
      <x:c r="K158" s="12" t="n">
        <x:f>'Weekly Projections'!BA168</x:f>
        <x:v>3</x:v>
      </x:c>
      <x:c r="L158" s="12" t="n">
        <x:f>'Weekly Projections'!BC168</x:f>
        <x:v>34</x:v>
      </x:c>
      <x:c r="M158" s="12" t="str">
        <x:f>'Weekly Projections'!BD168</x:f>
        <x:v>↑</x:v>
      </x:c>
    </x:row>
    <x:row r="159">
      <x:c r="A159" s="14" t="n">
        <x:f>'Weekly Projections'!BB169</x:f>
        <x:v>33</x:v>
      </x:c>
      <x:c r="B159" s="12" t="str">
        <x:f>'Weekly Projections'!A169</x:f>
        <x:v>Michael Wilson</x:v>
      </x:c>
      <x:c r="C159" s="12" t="str">
        <x:f>'Weekly Projections'!B169</x:f>
        <x:v>ARI</x:v>
      </x:c>
      <x:c r="D159" s="12" t="str">
        <x:f>'Weekly Projections'!C169</x:f>
        <x:v>WR</x:v>
      </x:c>
      <x:c r="E159" s="12" t="str">
        <x:f>'Weekly Projections'!D169</x:f>
        <x:v>SF</x:v>
      </x:c>
      <x:c r="F159" s="13" t="n">
        <x:f>'Weekly Projections'!AW169</x:f>
        <x:v>8.196173913043479</x:v>
      </x:c>
      <x:c r="G159" s="13" t="n">
        <x:f>'Weekly Projections'!AX169</x:f>
        <x:v>4.262010434782609</x:v>
      </x:c>
      <x:c r="H159" s="13" t="n">
        <x:f>'Weekly Projections'!AY169</x:f>
        <x:v>12.704069565217393</x:v>
      </x:c>
      <x:c r="I159" s="12" t="str">
        <x:f>'Weekly Projections'!H169</x:f>
        <x:v>ACTIVE</x:v>
      </x:c>
      <x:c r="J159" s="12" t="str">
        <x:f>'Weekly Projections'!AZ169</x:f>
        <x:v>High</x:v>
      </x:c>
      <x:c r="K159" s="12" t="n">
        <x:f>'Weekly Projections'!BA169</x:f>
        <x:v>3</x:v>
      </x:c>
      <x:c r="L159" s="12" t="n">
        <x:f>'Weekly Projections'!BC169</x:f>
        <x:v>35</x:v>
      </x:c>
      <x:c r="M159" s="12" t="str">
        <x:f>'Weekly Projections'!BD169</x:f>
        <x:v>↑</x:v>
      </x:c>
    </x:row>
    <x:row r="160">
      <x:c r="A160" s="14" t="n">
        <x:f>'Weekly Projections'!BB171</x:f>
        <x:v>34</x:v>
      </x:c>
      <x:c r="B160" s="12" t="str">
        <x:f>'Weekly Projections'!A171</x:f>
        <x:v>Jordan Addison</x:v>
      </x:c>
      <x:c r="C160" s="12" t="str">
        <x:f>'Weekly Projections'!B171</x:f>
        <x:v>MIN</x:v>
      </x:c>
      <x:c r="D160" s="12" t="str">
        <x:f>'Weekly Projections'!C171</x:f>
        <x:v>WR</x:v>
      </x:c>
      <x:c r="E160" s="12" t="str">
        <x:f>'Weekly Projections'!D171</x:f>
        <x:v>TB</x:v>
      </x:c>
      <x:c r="F160" s="13" t="n">
        <x:f>'Weekly Projections'!AW171</x:f>
        <x:v>7.799389565217392</x:v>
      </x:c>
      <x:c r="G160" s="13" t="n">
        <x:f>'Weekly Projections'!AX171</x:f>
        <x:v>4.055682573913044</x:v>
      </x:c>
      <x:c r="H160" s="13" t="n">
        <x:f>'Weekly Projections'!AY171</x:f>
        <x:v>12.089053826086957</x:v>
      </x:c>
      <x:c r="I160" s="12" t="str">
        <x:f>'Weekly Projections'!H171</x:f>
        <x:v>ACTIVE</x:v>
      </x:c>
      <x:c r="J160" s="12" t="str">
        <x:f>'Weekly Projections'!AZ171</x:f>
        <x:v>High</x:v>
      </x:c>
      <x:c r="K160" s="12" t="n">
        <x:f>'Weekly Projections'!BA171</x:f>
        <x:v>4</x:v>
      </x:c>
      <x:c r="L160" s="12" t="n">
        <x:f>'Weekly Projections'!BC171</x:f>
        <x:v>36</x:v>
      </x:c>
      <x:c r="M160" s="12" t="str">
        <x:f>'Weekly Projections'!BD171</x:f>
        <x:v>↑</x:v>
      </x:c>
    </x:row>
    <x:row r="161">
      <x:c r="A161" s="14" t="n">
        <x:f>'Weekly Projections'!BB172</x:f>
        <x:v>35</x:v>
      </x:c>
      <x:c r="B161" s="12" t="str">
        <x:f>'Weekly Projections'!A172</x:f>
        <x:v>Xavier Worthy</x:v>
      </x:c>
      <x:c r="C161" s="12" t="str">
        <x:f>'Weekly Projections'!B172</x:f>
        <x:v>KC</x:v>
      </x:c>
      <x:c r="D161" s="12" t="str">
        <x:f>'Weekly Projections'!C172</x:f>
        <x:v>WR</x:v>
      </x:c>
      <x:c r="E161" s="12" t="str">
        <x:f>'Weekly Projections'!D172</x:f>
        <x:v>MIA</x:v>
      </x:c>
      <x:c r="F161" s="13" t="n">
        <x:f>'Weekly Projections'!AW172</x:f>
        <x:v>7.543158260869568</x:v>
      </x:c>
      <x:c r="G161" s="13" t="n">
        <x:f>'Weekly Projections'!AX172</x:f>
        <x:v>3.9224422956521754</x:v>
      </x:c>
      <x:c r="H161" s="13" t="n">
        <x:f>'Weekly Projections'!AY172</x:f>
        <x:v>11.691895304347831</x:v>
      </x:c>
      <x:c r="I161" s="12" t="str">
        <x:f>'Weekly Projections'!H172</x:f>
        <x:v>ACTIVE</x:v>
      </x:c>
      <x:c r="J161" s="12" t="str">
        <x:f>'Weekly Projections'!AZ172</x:f>
        <x:v>High</x:v>
      </x:c>
      <x:c r="K161" s="12" t="n">
        <x:f>'Weekly Projections'!BA172</x:f>
        <x:v>4</x:v>
      </x:c>
      <x:c r="L161" s="12" t="n">
        <x:f>'Weekly Projections'!BC172</x:f>
        <x:v>37</x:v>
      </x:c>
      <x:c r="M161" s="12" t="str">
        <x:f>'Weekly Projections'!BD172</x:f>
        <x:v>↑</x:v>
      </x:c>
    </x:row>
    <x:row r="162">
      <x:c r="A162" s="14" t="n">
        <x:f>'Weekly Projections'!BB173</x:f>
        <x:v>36</x:v>
      </x:c>
      <x:c r="B162" s="12" t="str">
        <x:f>'Weekly Projections'!A173</x:f>
        <x:v>Zay Flowers</x:v>
      </x:c>
      <x:c r="C162" s="12" t="str">
        <x:f>'Weekly Projections'!B173</x:f>
        <x:v>BAL</x:v>
      </x:c>
      <x:c r="D162" s="12" t="str">
        <x:f>'Weekly Projections'!C173</x:f>
        <x:v>WR</x:v>
      </x:c>
      <x:c r="E162" s="12" t="str">
        <x:f>'Weekly Projections'!D173</x:f>
        <x:v>DAL</x:v>
      </x:c>
      <x:c r="F162" s="13" t="n">
        <x:f>'Weekly Projections'!AW173</x:f>
        <x:v>7.4424672</x:v>
      </x:c>
      <x:c r="G162" s="13" t="n">
        <x:f>'Weekly Projections'!AX173</x:f>
        <x:v>3.8700829440000004</x:v>
      </x:c>
      <x:c r="H162" s="13" t="n">
        <x:f>'Weekly Projections'!AY173</x:f>
        <x:v>11.53582416</x:v>
      </x:c>
      <x:c r="I162" s="12" t="str">
        <x:f>'Weekly Projections'!H173</x:f>
        <x:v>QUESTIONABLE</x:v>
      </x:c>
      <x:c r="J162" s="12" t="str">
        <x:f>'Weekly Projections'!AZ173</x:f>
        <x:v>Low</x:v>
      </x:c>
      <x:c r="K162" s="12" t="n">
        <x:f>'Weekly Projections'!BA173</x:f>
        <x:v>4</x:v>
      </x:c>
      <x:c r="L162" s="12" t="n">
        <x:f>'Weekly Projections'!BC173</x:f>
        <x:v>38</x:v>
      </x:c>
      <x:c r="M162" s="12" t="str">
        <x:f>'Weekly Projections'!BD173</x:f>
        <x:v>↑</x:v>
      </x:c>
    </x:row>
    <x:row r="163">
      <x:c r="A163" s="14" t="n">
        <x:f>'Weekly Projections'!BB156</x:f>
        <x:v>37</x:v>
      </x:c>
      <x:c r="B163" s="12" t="str">
        <x:f>'Weekly Projections'!A156</x:f>
        <x:v>Luther Burden III</x:v>
      </x:c>
      <x:c r="C163" s="12" t="str">
        <x:f>'Weekly Projections'!B156</x:f>
        <x:v>CHI</x:v>
      </x:c>
      <x:c r="D163" s="12" t="str">
        <x:f>'Weekly Projections'!C156</x:f>
        <x:v>WR</x:v>
      </x:c>
      <x:c r="E163" s="12" t="str">
        <x:f>'Weekly Projections'!D156</x:f>
        <x:v>PHI</x:v>
      </x:c>
      <x:c r="F163" s="13" t="n">
        <x:f>'Weekly Projections'!AW156</x:f>
        <x:v>7.331351884057971</x:v>
      </x:c>
      <x:c r="G163" s="13" t="n">
        <x:f>'Weekly Projections'!AX156</x:f>
        <x:v>3.812302979710145</x:v>
      </x:c>
      <x:c r="H163" s="13" t="n">
        <x:f>'Weekly Projections'!AY156</x:f>
        <x:v>11.363595420289855</x:v>
      </x:c>
      <x:c r="I163" s="12" t="str">
        <x:f>'Weekly Projections'!H156</x:f>
        <x:v>ACTIVE</x:v>
      </x:c>
      <x:c r="J163" s="12" t="str">
        <x:f>'Weekly Projections'!AZ156</x:f>
        <x:v>Moderate</x:v>
      </x:c>
      <x:c r="K163" s="12" t="n">
        <x:f>'Weekly Projections'!BA156</x:f>
        <x:v>2</x:v>
      </x:c>
      <x:c r="L163" s="12" t="n">
        <x:f>'Weekly Projections'!BC156</x:f>
        <x:v>23</x:v>
      </x:c>
      <x:c r="M163" s="12" t="str">
        <x:f>'Weekly Projections'!BD156</x:f>
        <x:v>↓</x:v>
      </x:c>
    </x:row>
    <x:row r="164">
      <x:c r="A164" s="14" t="n">
        <x:f>'Weekly Projections'!BB174</x:f>
        <x:v>38</x:v>
      </x:c>
      <x:c r="B164" s="12" t="str">
        <x:f>'Weekly Projections'!A174</x:f>
        <x:v>Tre Tucker</x:v>
      </x:c>
      <x:c r="C164" s="12" t="str">
        <x:f>'Weekly Projections'!B174</x:f>
        <x:v>LV</x:v>
      </x:c>
      <x:c r="D164" s="12" t="str">
        <x:f>'Weekly Projections'!C174</x:f>
        <x:v>WR</x:v>
      </x:c>
      <x:c r="E164" s="12" t="str">
        <x:f>'Weekly Projections'!D174</x:f>
        <x:v>NO</x:v>
      </x:c>
      <x:c r="F164" s="13" t="n">
        <x:f>'Weekly Projections'!AW174</x:f>
        <x:v>6.997808695652175</x:v>
      </x:c>
      <x:c r="G164" s="13" t="n">
        <x:f>'Weekly Projections'!AX174</x:f>
        <x:v>3.638860521739131</x:v>
      </x:c>
      <x:c r="H164" s="13" t="n">
        <x:f>'Weekly Projections'!AY174</x:f>
        <x:v>10.846603478260871</x:v>
      </x:c>
      <x:c r="I164" s="12" t="str">
        <x:f>'Weekly Projections'!H174</x:f>
        <x:v>ACTIVE</x:v>
      </x:c>
      <x:c r="J164" s="12" t="str">
        <x:f>'Weekly Projections'!AZ174</x:f>
        <x:v>High</x:v>
      </x:c>
      <x:c r="K164" s="12" t="n">
        <x:f>'Weekly Projections'!BA174</x:f>
        <x:v>4</x:v>
      </x:c>
      <x:c r="L164" s="12" t="n">
        <x:f>'Weekly Projections'!BC174</x:f>
        <x:v>39</x:v>
      </x:c>
      <x:c r="M164" s="12" t="str">
        <x:f>'Weekly Projections'!BD174</x:f>
        <x:v>↑</x:v>
      </x:c>
    </x:row>
    <x:row r="165">
      <x:c r="A165" s="14" t="n">
        <x:f>'Weekly Projections'!BB175</x:f>
        <x:v>39</x:v>
      </x:c>
      <x:c r="B165" s="12" t="str">
        <x:f>'Weekly Projections'!A175</x:f>
        <x:v>Stefon Diggs</x:v>
      </x:c>
      <x:c r="C165" s="12" t="str">
        <x:f>'Weekly Projections'!B175</x:f>
        <x:v>WAS</x:v>
      </x:c>
      <x:c r="D165" s="12" t="str">
        <x:f>'Weekly Projections'!C175</x:f>
        <x:v>WR</x:v>
      </x:c>
      <x:c r="E165" s="12" t="str">
        <x:f>'Weekly Projections'!D175</x:f>
        <x:v>SEA</x:v>
      </x:c>
      <x:c r="F165" s="13" t="n">
        <x:f>'Weekly Projections'!AW175</x:f>
        <x:v>6.825507826086957</x:v>
      </x:c>
      <x:c r="G165" s="13" t="n">
        <x:f>'Weekly Projections'!AX175</x:f>
        <x:v>3.549264069565218</x:v>
      </x:c>
      <x:c r="H165" s="13" t="n">
        <x:f>'Weekly Projections'!AY175</x:f>
        <x:v>10.579537130434783</x:v>
      </x:c>
      <x:c r="I165" s="12" t="str">
        <x:f>'Weekly Projections'!H175</x:f>
        <x:v>ACTIVE</x:v>
      </x:c>
      <x:c r="J165" s="12" t="str">
        <x:f>'Weekly Projections'!AZ175</x:f>
        <x:v>High</x:v>
      </x:c>
      <x:c r="K165" s="12" t="n">
        <x:f>'Weekly Projections'!BA175</x:f>
        <x:v>4</x:v>
      </x:c>
      <x:c r="L165" s="12" t="n">
        <x:f>'Weekly Projections'!BC175</x:f>
        <x:v>40</x:v>
      </x:c>
      <x:c r="M165" s="12" t="str">
        <x:f>'Weekly Projections'!BD175</x:f>
        <x:v>↑</x:v>
      </x:c>
    </x:row>
    <x:row r="166">
      <x:c r="A166" s="14" t="n">
        <x:f>'Weekly Projections'!BB176</x:f>
        <x:v>40</x:v>
      </x:c>
      <x:c r="B166" s="12" t="str">
        <x:f>'Weekly Projections'!A176</x:f>
        <x:v>Jakobi Meyers</x:v>
      </x:c>
      <x:c r="C166" s="12" t="str">
        <x:f>'Weekly Projections'!B176</x:f>
        <x:v>JAC</x:v>
      </x:c>
      <x:c r="D166" s="12" t="str">
        <x:f>'Weekly Projections'!C176</x:f>
        <x:v>WR</x:v>
      </x:c>
      <x:c r="E166" s="12" t="str">
        <x:f>'Weekly Projections'!D176</x:f>
        <x:v>NE</x:v>
      </x:c>
      <x:c r="F166" s="13" t="n">
        <x:f>'Weekly Projections'!AW176</x:f>
        <x:v>6.746782608695653</x:v>
      </x:c>
      <x:c r="G166" s="13" t="n">
        <x:f>'Weekly Projections'!AX176</x:f>
        <x:v>3.5083269565217394</x:v>
      </x:c>
      <x:c r="H166" s="13" t="n">
        <x:f>'Weekly Projections'!AY176</x:f>
        <x:v>10.457513043478261</x:v>
      </x:c>
      <x:c r="I166" s="12" t="str">
        <x:f>'Weekly Projections'!H176</x:f>
        <x:v>ACTIVE</x:v>
      </x:c>
      <x:c r="J166" s="12" t="str">
        <x:f>'Weekly Projections'!AZ176</x:f>
        <x:v>High</x:v>
      </x:c>
      <x:c r="K166" s="12" t="n">
        <x:f>'Weekly Projections'!BA176</x:f>
        <x:v>4</x:v>
      </x:c>
      <x:c r="L166" s="12" t="n">
        <x:f>'Weekly Projections'!BC176</x:f>
        <x:v>41</x:v>
      </x:c>
      <x:c r="M166" s="12" t="str">
        <x:f>'Weekly Projections'!BD176</x:f>
        <x:v>↑</x:v>
      </x:c>
    </x:row>
    <x:row r="167">
      <x:c r="A167" s="14" t="n">
        <x:f>'Weekly Projections'!BB177</x:f>
        <x:v>41</x:v>
      </x:c>
      <x:c r="B167" s="12" t="str">
        <x:f>'Weekly Projections'!A177</x:f>
        <x:v>Quentin Johnston</x:v>
      </x:c>
      <x:c r="C167" s="12" t="str">
        <x:f>'Weekly Projections'!B177</x:f>
        <x:v>LAC</x:v>
      </x:c>
      <x:c r="D167" s="12" t="str">
        <x:f>'Weekly Projections'!C177</x:f>
        <x:v>WR</x:v>
      </x:c>
      <x:c r="E167" s="12" t="str">
        <x:f>'Weekly Projections'!D177</x:f>
        <x:v>BUF</x:v>
      </x:c>
      <x:c r="F167" s="13" t="n">
        <x:f>'Weekly Projections'!AW177</x:f>
        <x:v>6.735840000000001</x:v>
      </x:c>
      <x:c r="G167" s="13" t="n">
        <x:f>'Weekly Projections'!AX177</x:f>
        <x:v>3.5026368000000008</x:v>
      </x:c>
      <x:c r="H167" s="13" t="n">
        <x:f>'Weekly Projections'!AY177</x:f>
        <x:v>10.440552000000002</x:v>
      </x:c>
      <x:c r="I167" s="12" t="str">
        <x:f>'Weekly Projections'!H177</x:f>
        <x:v>ACTIVE</x:v>
      </x:c>
      <x:c r="J167" s="12" t="str">
        <x:f>'Weekly Projections'!AZ177</x:f>
        <x:v>High</x:v>
      </x:c>
      <x:c r="K167" s="12" t="n">
        <x:f>'Weekly Projections'!BA177</x:f>
        <x:v>4</x:v>
      </x:c>
      <x:c r="L167" s="12" t="n">
        <x:f>'Weekly Projections'!BC177</x:f>
        <x:v>42</x:v>
      </x:c>
      <x:c r="M167" s="12" t="str">
        <x:f>'Weekly Projections'!BD177</x:f>
        <x:v>↑</x:v>
      </x:c>
    </x:row>
    <x:row r="168">
      <x:c r="A168" s="14" t="n">
        <x:f>'Weekly Projections'!BB178</x:f>
        <x:v>42</x:v>
      </x:c>
      <x:c r="B168" s="12" t="str">
        <x:f>'Weekly Projections'!A178</x:f>
        <x:v>Josh Downs</x:v>
      </x:c>
      <x:c r="C168" s="12" t="str">
        <x:f>'Weekly Projections'!B178</x:f>
        <x:v>IND</x:v>
      </x:c>
      <x:c r="D168" s="12" t="str">
        <x:f>'Weekly Projections'!C178</x:f>
        <x:v>WR</x:v>
      </x:c>
      <x:c r="E168" s="12" t="str">
        <x:f>'Weekly Projections'!D178</x:f>
        <x:v>HOU</x:v>
      </x:c>
      <x:c r="F168" s="13" t="n">
        <x:f>'Weekly Projections'!AW178</x:f>
        <x:v>6.72608695652174</x:v>
      </x:c>
      <x:c r="G168" s="13" t="n">
        <x:f>'Weekly Projections'!AX178</x:f>
        <x:v>3.4975652173913048</x:v>
      </x:c>
      <x:c r="H168" s="13" t="n">
        <x:f>'Weekly Projections'!AY178</x:f>
        <x:v>10.425434782608697</x:v>
      </x:c>
      <x:c r="I168" s="12" t="str">
        <x:f>'Weekly Projections'!H178</x:f>
        <x:v>ACTIVE</x:v>
      </x:c>
      <x:c r="J168" s="12" t="str">
        <x:f>'Weekly Projections'!AZ178</x:f>
        <x:v>High</x:v>
      </x:c>
      <x:c r="K168" s="12" t="n">
        <x:f>'Weekly Projections'!BA178</x:f>
        <x:v>4</x:v>
      </x:c>
      <x:c r="L168" s="12" t="n">
        <x:f>'Weekly Projections'!BC178</x:f>
        <x:v>43</x:v>
      </x:c>
      <x:c r="M168" s="12" t="str">
        <x:f>'Weekly Projections'!BD178</x:f>
        <x:v>↑</x:v>
      </x:c>
    </x:row>
    <x:row r="169">
      <x:c r="A169" s="14" t="n">
        <x:f>'Weekly Projections'!BB179</x:f>
        <x:v>43</x:v>
      </x:c>
      <x:c r="B169" s="12" t="str">
        <x:f>'Weekly Projections'!A179</x:f>
        <x:v>Adonai Mitchell</x:v>
      </x:c>
      <x:c r="C169" s="12" t="str">
        <x:f>'Weekly Projections'!B179</x:f>
        <x:v>NYJ</x:v>
      </x:c>
      <x:c r="D169" s="12" t="str">
        <x:f>'Weekly Projections'!C179</x:f>
        <x:v>WR</x:v>
      </x:c>
      <x:c r="E169" s="12" t="str">
        <x:f>'Weekly Projections'!D179</x:f>
        <x:v>DET</x:v>
      </x:c>
      <x:c r="F169" s="13" t="n">
        <x:f>'Weekly Projections'!AW179</x:f>
        <x:v>6.645453913043477</x:v>
      </x:c>
      <x:c r="G169" s="13" t="n">
        <x:f>'Weekly Projections'!AX179</x:f>
        <x:v>3.455636034782608</x:v>
      </x:c>
      <x:c r="H169" s="13" t="n">
        <x:f>'Weekly Projections'!AY179</x:f>
        <x:v>10.30045356521739</x:v>
      </x:c>
      <x:c r="I169" s="12" t="str">
        <x:f>'Weekly Projections'!H179</x:f>
        <x:v>ACTIVE</x:v>
      </x:c>
      <x:c r="J169" s="12" t="str">
        <x:f>'Weekly Projections'!AZ179</x:f>
        <x:v>High</x:v>
      </x:c>
      <x:c r="K169" s="12" t="n">
        <x:f>'Weekly Projections'!BA179</x:f>
        <x:v>4</x:v>
      </x:c>
      <x:c r="L169" s="12" t="n">
        <x:f>'Weekly Projections'!BC179</x:f>
        <x:v>44</x:v>
      </x:c>
      <x:c r="M169" s="12" t="str">
        <x:f>'Weekly Projections'!BD179</x:f>
        <x:v>↑</x:v>
      </x:c>
    </x:row>
    <x:row r="170">
      <x:c r="A170" s="14" t="n">
        <x:f>'Weekly Projections'!BB180</x:f>
        <x:v>44</x:v>
      </x:c>
      <x:c r="B170" s="12" t="str">
        <x:f>'Weekly Projections'!A180</x:f>
        <x:v>Rashid Shaheed</x:v>
      </x:c>
      <x:c r="C170" s="12" t="str">
        <x:f>'Weekly Projections'!B180</x:f>
        <x:v>SEA</x:v>
      </x:c>
      <x:c r="D170" s="12" t="str">
        <x:f>'Weekly Projections'!C180</x:f>
        <x:v>WR</x:v>
      </x:c>
      <x:c r="E170" s="12" t="str">
        <x:f>'Weekly Projections'!D180</x:f>
        <x:v>WAS</x:v>
      </x:c>
      <x:c r="F170" s="13" t="n">
        <x:f>'Weekly Projections'!AW180</x:f>
        <x:v>6.550260869565219</x:v>
      </x:c>
      <x:c r="G170" s="13" t="n">
        <x:f>'Weekly Projections'!AX180</x:f>
        <x:v>3.406135652173914</x:v>
      </x:c>
      <x:c r="H170" s="13" t="n">
        <x:f>'Weekly Projections'!AY180</x:f>
        <x:v>10.15290434782609</x:v>
      </x:c>
      <x:c r="I170" s="12" t="str">
        <x:f>'Weekly Projections'!H180</x:f>
        <x:v>ACTIVE</x:v>
      </x:c>
      <x:c r="J170" s="12" t="str">
        <x:f>'Weekly Projections'!AZ180</x:f>
        <x:v>High</x:v>
      </x:c>
      <x:c r="K170" s="12" t="n">
        <x:f>'Weekly Projections'!BA180</x:f>
        <x:v>4</x:v>
      </x:c>
      <x:c r="L170" s="12" t="n">
        <x:f>'Weekly Projections'!BC180</x:f>
        <x:v>45</x:v>
      </x:c>
      <x:c r="M170" s="12" t="str">
        <x:f>'Weekly Projections'!BD180</x:f>
        <x:v>↑</x:v>
      </x:c>
    </x:row>
    <x:row r="171">
      <x:c r="A171" s="14" t="n">
        <x:f>'Weekly Projections'!BB181</x:f>
        <x:v>45</x:v>
      </x:c>
      <x:c r="B171" s="12" t="str">
        <x:f>'Weekly Projections'!A181</x:f>
        <x:v>Jerry Jeudy</x:v>
      </x:c>
      <x:c r="C171" s="12" t="str">
        <x:f>'Weekly Projections'!B181</x:f>
        <x:v>CLE</x:v>
      </x:c>
      <x:c r="D171" s="12" t="str">
        <x:f>'Weekly Projections'!C181</x:f>
        <x:v>WR</x:v>
      </x:c>
      <x:c r="E171" s="12" t="str">
        <x:f>'Weekly Projections'!D181</x:f>
        <x:v>CAR</x:v>
      </x:c>
      <x:c r="F171" s="13" t="n">
        <x:f>'Weekly Projections'!AW181</x:f>
        <x:v>6.343387826086957</x:v>
      </x:c>
      <x:c r="G171" s="13" t="n">
        <x:f>'Weekly Projections'!AX181</x:f>
        <x:v>3.298561669565218</x:v>
      </x:c>
      <x:c r="H171" s="13" t="n">
        <x:f>'Weekly Projections'!AY181</x:f>
        <x:v>9.832251130434784</x:v>
      </x:c>
      <x:c r="I171" s="12" t="str">
        <x:f>'Weekly Projections'!H181</x:f>
        <x:v>ACTIVE</x:v>
      </x:c>
      <x:c r="J171" s="12" t="str">
        <x:f>'Weekly Projections'!AZ181</x:f>
        <x:v>High</x:v>
      </x:c>
      <x:c r="K171" s="12" t="n">
        <x:f>'Weekly Projections'!BA181</x:f>
        <x:v>4</x:v>
      </x:c>
      <x:c r="L171" s="12" t="n">
        <x:f>'Weekly Projections'!BC181</x:f>
        <x:v>46</x:v>
      </x:c>
      <x:c r="M171" s="12" t="str">
        <x:f>'Weekly Projections'!BD181</x:f>
        <x:v>↑</x:v>
      </x:c>
    </x:row>
    <x:row r="172">
      <x:c r="A172" s="14" t="n">
        <x:f>'Weekly Projections'!BB182</x:f>
        <x:v>46</x:v>
      </x:c>
      <x:c r="B172" s="12" t="str">
        <x:f>'Weekly Projections'!A182</x:f>
        <x:v>Chris Godwin Jr.</x:v>
      </x:c>
      <x:c r="C172" s="12" t="str">
        <x:f>'Weekly Projections'!B182</x:f>
        <x:v>TB</x:v>
      </x:c>
      <x:c r="D172" s="12" t="str">
        <x:f>'Weekly Projections'!C182</x:f>
        <x:v>WR</x:v>
      </x:c>
      <x:c r="E172" s="12" t="str">
        <x:f>'Weekly Projections'!D182</x:f>
        <x:v>MIN</x:v>
      </x:c>
      <x:c r="F172" s="13" t="n">
        <x:f>'Weekly Projections'!AW182</x:f>
        <x:v>6.249709565217392</x:v>
      </x:c>
      <x:c r="G172" s="13" t="n">
        <x:f>'Weekly Projections'!AX182</x:f>
        <x:v>3.249848973913044</x:v>
      </x:c>
      <x:c r="H172" s="13" t="n">
        <x:f>'Weekly Projections'!AY182</x:f>
        <x:v>9.687049826086959</x:v>
      </x:c>
      <x:c r="I172" s="12" t="str">
        <x:f>'Weekly Projections'!H182</x:f>
        <x:v>ACTIVE</x:v>
      </x:c>
      <x:c r="J172" s="12" t="str">
        <x:f>'Weekly Projections'!AZ182</x:f>
        <x:v>High</x:v>
      </x:c>
      <x:c r="K172" s="12" t="n">
        <x:f>'Weekly Projections'!BA182</x:f>
        <x:v>4</x:v>
      </x:c>
      <x:c r="L172" s="12" t="n">
        <x:f>'Weekly Projections'!BC182</x:f>
        <x:v>47</x:v>
      </x:c>
      <x:c r="M172" s="12" t="str">
        <x:f>'Weekly Projections'!BD182</x:f>
        <x:v>↑</x:v>
      </x:c>
    </x:row>
    <x:row r="173">
      <x:c r="A173" s="14" t="n">
        <x:f>'Weekly Projections'!BB183</x:f>
        <x:v>47</x:v>
      </x:c>
      <x:c r="B173" s="12" t="str">
        <x:f>'Weekly Projections'!A183</x:f>
        <x:v>Carnell Tate</x:v>
      </x:c>
      <x:c r="C173" s="12" t="str">
        <x:f>'Weekly Projections'!B183</x:f>
        <x:v>TEN</x:v>
      </x:c>
      <x:c r="D173" s="12" t="str">
        <x:f>'Weekly Projections'!C183</x:f>
        <x:v>WR</x:v>
      </x:c>
      <x:c r="E173" s="12" t="str">
        <x:f>'Weekly Projections'!D183</x:f>
        <x:v>NYG</x:v>
      </x:c>
      <x:c r="F173" s="13" t="n">
        <x:f>'Weekly Projections'!AW183</x:f>
        <x:v>6.244779130434782</x:v>
      </x:c>
      <x:c r="G173" s="13" t="n">
        <x:f>'Weekly Projections'!AX183</x:f>
        <x:v>3.247285147826087</x:v>
      </x:c>
      <x:c r="H173" s="13" t="n">
        <x:f>'Weekly Projections'!AY183</x:f>
        <x:v>9.679407652173913</x:v>
      </x:c>
      <x:c r="I173" s="12" t="str">
        <x:f>'Weekly Projections'!H183</x:f>
        <x:v>ACTIVE</x:v>
      </x:c>
      <x:c r="J173" s="12" t="str">
        <x:f>'Weekly Projections'!AZ183</x:f>
        <x:v>High</x:v>
      </x:c>
      <x:c r="K173" s="12" t="n">
        <x:f>'Weekly Projections'!BA183</x:f>
        <x:v>5</x:v>
      </x:c>
      <x:c r="L173" s="12" t="n">
        <x:f>'Weekly Projections'!BC183</x:f>
        <x:v>48</x:v>
      </x:c>
      <x:c r="M173" s="12" t="str">
        <x:f>'Weekly Projections'!BD183</x:f>
        <x:v>↑</x:v>
      </x:c>
    </x:row>
    <x:row r="174">
      <x:c r="A174" s="14" t="n">
        <x:f>'Weekly Projections'!BB184</x:f>
        <x:v>48</x:v>
      </x:c>
      <x:c r="B174" s="12" t="str">
        <x:f>'Weekly Projections'!A184</x:f>
        <x:v>Deebo Samuel Sr.</x:v>
      </x:c>
      <x:c r="C174" s="12" t="str">
        <x:f>'Weekly Projections'!B184</x:f>
        <x:v>SF</x:v>
      </x:c>
      <x:c r="D174" s="12" t="str">
        <x:f>'Weekly Projections'!C184</x:f>
        <x:v>WR</x:v>
      </x:c>
      <x:c r="E174" s="12" t="str">
        <x:f>'Weekly Projections'!D184</x:f>
        <x:v>ARI</x:v>
      </x:c>
      <x:c r="F174" s="13" t="n">
        <x:f>'Weekly Projections'!AW184</x:f>
        <x:v>6.09391304347826</x:v>
      </x:c>
      <x:c r="G174" s="13" t="n">
        <x:f>'Weekly Projections'!AX184</x:f>
        <x:v>3.168834782608695</x:v>
      </x:c>
      <x:c r="H174" s="13" t="n">
        <x:f>'Weekly Projections'!AY184</x:f>
        <x:v>9.445565217391303</x:v>
      </x:c>
      <x:c r="I174" s="12" t="str">
        <x:f>'Weekly Projections'!H184</x:f>
        <x:v>ACTIVE</x:v>
      </x:c>
      <x:c r="J174" s="12" t="str">
        <x:f>'Weekly Projections'!AZ184</x:f>
        <x:v>High</x:v>
      </x:c>
      <x:c r="K174" s="12" t="n">
        <x:f>'Weekly Projections'!BA184</x:f>
        <x:v>5</x:v>
      </x:c>
      <x:c r="L174" s="12" t="n">
        <x:f>'Weekly Projections'!BC184</x:f>
        <x:v>49</x:v>
      </x:c>
      <x:c r="M174" s="12" t="str">
        <x:f>'Weekly Projections'!BD184</x:f>
        <x:v>↑</x:v>
      </x:c>
    </x:row>
    <x:row r="175">
      <x:c r="A175" s="14" t="n">
        <x:f>'Weekly Projections'!BB185</x:f>
        <x:v>49</x:v>
      </x:c>
      <x:c r="B175" s="12" t="str">
        <x:f>'Weekly Projections'!A185</x:f>
        <x:v>Khalil Shakir</x:v>
      </x:c>
      <x:c r="C175" s="12" t="str">
        <x:f>'Weekly Projections'!B185</x:f>
        <x:v>BUF</x:v>
      </x:c>
      <x:c r="D175" s="12" t="str">
        <x:f>'Weekly Projections'!C185</x:f>
        <x:v>WR</x:v>
      </x:c>
      <x:c r="E175" s="12" t="str">
        <x:f>'Weekly Projections'!D185</x:f>
        <x:v>LAC</x:v>
      </x:c>
      <x:c r="F175" s="13" t="n">
        <x:f>'Weekly Projections'!AW185</x:f>
        <x:v>6.090156521739131</x:v>
      </x:c>
      <x:c r="G175" s="13" t="n">
        <x:f>'Weekly Projections'!AX185</x:f>
        <x:v>3.1668813913043485</x:v>
      </x:c>
      <x:c r="H175" s="13" t="n">
        <x:f>'Weekly Projections'!AY185</x:f>
        <x:v>9.439742608695655</x:v>
      </x:c>
      <x:c r="I175" s="12" t="str">
        <x:f>'Weekly Projections'!H185</x:f>
        <x:v>ACTIVE</x:v>
      </x:c>
      <x:c r="J175" s="12" t="str">
        <x:f>'Weekly Projections'!AZ185</x:f>
        <x:v>High</x:v>
      </x:c>
      <x:c r="K175" s="12" t="n">
        <x:f>'Weekly Projections'!BA185</x:f>
        <x:v>5</x:v>
      </x:c>
      <x:c r="L175" s="12" t="n">
        <x:f>'Weekly Projections'!BC185</x:f>
        <x:v>50</x:v>
      </x:c>
      <x:c r="M175" s="12" t="str">
        <x:f>'Weekly Projections'!BD185</x:f>
        <x:v>↑</x:v>
      </x:c>
    </x:row>
    <x:row r="176">
      <x:c r="A176" s="14" t="n">
        <x:f>'Weekly Projections'!BB187</x:f>
        <x:v>50</x:v>
      </x:c>
      <x:c r="B176" s="12" t="str">
        <x:f>'Weekly Projections'!A187</x:f>
        <x:v>Tre' Harris</x:v>
      </x:c>
      <x:c r="C176" s="12" t="str">
        <x:f>'Weekly Projections'!B187</x:f>
        <x:v>LAC</x:v>
      </x:c>
      <x:c r="D176" s="12" t="str">
        <x:f>'Weekly Projections'!C187</x:f>
        <x:v>WR</x:v>
      </x:c>
      <x:c r="E176" s="12" t="str">
        <x:f>'Weekly Projections'!D187</x:f>
        <x:v>BUF</x:v>
      </x:c>
      <x:c r="F176" s="13" t="n">
        <x:f>'Weekly Projections'!AW187</x:f>
        <x:v>6.052493913043478</x:v>
      </x:c>
      <x:c r="G176" s="13" t="n">
        <x:f>'Weekly Projections'!AX187</x:f>
        <x:v>3.1472968347826087</x:v>
      </x:c>
      <x:c r="H176" s="13" t="n">
        <x:f>'Weekly Projections'!AY187</x:f>
        <x:v>9.381365565217392</x:v>
      </x:c>
      <x:c r="I176" s="12" t="str">
        <x:f>'Weekly Projections'!H187</x:f>
        <x:v>ACTIVE</x:v>
      </x:c>
      <x:c r="J176" s="12" t="str">
        <x:f>'Weekly Projections'!AZ187</x:f>
        <x:v>High</x:v>
      </x:c>
      <x:c r="K176" s="12" t="n">
        <x:f>'Weekly Projections'!BA187</x:f>
        <x:v>5</x:v>
      </x:c>
      <x:c r="L176" s="12" t="n">
        <x:f>'Weekly Projections'!BC187</x:f>
        <x:v>51</x:v>
      </x:c>
      <x:c r="M176" s="12" t="str">
        <x:f>'Weekly Projections'!BD187</x:f>
        <x:v>↑</x:v>
      </x:c>
    </x:row>
    <x:row r="177">
      <x:c r="A177" s="14" t="n">
        <x:f>'Weekly Projections'!BB188</x:f>
        <x:v>51</x:v>
      </x:c>
      <x:c r="B177" s="12" t="str">
        <x:f>'Weekly Projections'!A188</x:f>
        <x:v>Devaughn Vele</x:v>
      </x:c>
      <x:c r="C177" s="12" t="str">
        <x:f>'Weekly Projections'!B188</x:f>
        <x:v>NO</x:v>
      </x:c>
      <x:c r="D177" s="12" t="str">
        <x:f>'Weekly Projections'!C188</x:f>
        <x:v>WR</x:v>
      </x:c>
      <x:c r="E177" s="12" t="str">
        <x:f>'Weekly Projections'!D188</x:f>
        <x:v>LV</x:v>
      </x:c>
      <x:c r="F177" s="13" t="n">
        <x:f>'Weekly Projections'!AW188</x:f>
        <x:v>6.052260869565217</x:v>
      </x:c>
      <x:c r="G177" s="13" t="n">
        <x:f>'Weekly Projections'!AX188</x:f>
        <x:v>3.147175652173913</x:v>
      </x:c>
      <x:c r="H177" s="13" t="n">
        <x:f>'Weekly Projections'!AY188</x:f>
        <x:v>9.381004347826087</x:v>
      </x:c>
      <x:c r="I177" s="12" t="str">
        <x:f>'Weekly Projections'!H188</x:f>
        <x:v>ACTIVE</x:v>
      </x:c>
      <x:c r="J177" s="12" t="str">
        <x:f>'Weekly Projections'!AZ188</x:f>
        <x:v>High</x:v>
      </x:c>
      <x:c r="K177" s="12" t="n">
        <x:f>'Weekly Projections'!BA188</x:f>
        <x:v>5</x:v>
      </x:c>
      <x:c r="L177" s="12" t="n">
        <x:f>'Weekly Projections'!BC188</x:f>
        <x:v>52</x:v>
      </x:c>
      <x:c r="M177" s="12" t="str">
        <x:f>'Weekly Projections'!BD188</x:f>
        <x:v>↑</x:v>
      </x:c>
    </x:row>
    <x:row r="178">
      <x:c r="A178" s="14" t="n">
        <x:f>'Weekly Projections'!BB189</x:f>
        <x:v>52</x:v>
      </x:c>
      <x:c r="B178" s="12" t="str">
        <x:f>'Weekly Projections'!A189</x:f>
        <x:v>Denzel Boston</x:v>
      </x:c>
      <x:c r="C178" s="12" t="str">
        <x:f>'Weekly Projections'!B189</x:f>
        <x:v>CLE</x:v>
      </x:c>
      <x:c r="D178" s="12" t="str">
        <x:f>'Weekly Projections'!C189</x:f>
        <x:v>WR</x:v>
      </x:c>
      <x:c r="E178" s="12" t="str">
        <x:f>'Weekly Projections'!D189</x:f>
        <x:v>CAR</x:v>
      </x:c>
      <x:c r="F178" s="13" t="n">
        <x:f>'Weekly Projections'!AW189</x:f>
        <x:v>6.041321739130433</x:v>
      </x:c>
      <x:c r="G178" s="13" t="n">
        <x:f>'Weekly Projections'!AX189</x:f>
        <x:v>3.1414873043478253</x:v>
      </x:c>
      <x:c r="H178" s="13" t="n">
        <x:f>'Weekly Projections'!AY189</x:f>
        <x:v>9.364048695652173</x:v>
      </x:c>
      <x:c r="I178" s="12" t="str">
        <x:f>'Weekly Projections'!H189</x:f>
        <x:v>ACTIVE</x:v>
      </x:c>
      <x:c r="J178" s="12" t="str">
        <x:f>'Weekly Projections'!AZ189</x:f>
        <x:v>High</x:v>
      </x:c>
      <x:c r="K178" s="12" t="n">
        <x:f>'Weekly Projections'!BA189</x:f>
        <x:v>5</x:v>
      </x:c>
      <x:c r="L178" s="12" t="n">
        <x:f>'Weekly Projections'!BC189</x:f>
        <x:v>53</x:v>
      </x:c>
      <x:c r="M178" s="12" t="str">
        <x:f>'Weekly Projections'!BD189</x:f>
        <x:v>↑</x:v>
      </x:c>
    </x:row>
    <x:row r="179">
      <x:c r="A179" s="14" t="n">
        <x:f>'Weekly Projections'!BB191</x:f>
        <x:v>53</x:v>
      </x:c>
      <x:c r="B179" s="12" t="str">
        <x:f>'Weekly Projections'!A191</x:f>
        <x:v>Chris Bell</x:v>
      </x:c>
      <x:c r="C179" s="12" t="str">
        <x:f>'Weekly Projections'!B191</x:f>
        <x:v>MIA</x:v>
      </x:c>
      <x:c r="D179" s="12" t="str">
        <x:f>'Weekly Projections'!C191</x:f>
        <x:v>WR</x:v>
      </x:c>
      <x:c r="E179" s="12" t="str">
        <x:f>'Weekly Projections'!D191</x:f>
        <x:v>KC</x:v>
      </x:c>
      <x:c r="F179" s="13" t="n">
        <x:f>'Weekly Projections'!AW191</x:f>
        <x:v>5.912960869565218</x:v>
      </x:c>
      <x:c r="G179" s="13" t="n">
        <x:f>'Weekly Projections'!AX191</x:f>
        <x:v>3.0747396521739137</x:v>
      </x:c>
      <x:c r="H179" s="13" t="n">
        <x:f>'Weekly Projections'!AY191</x:f>
        <x:v>9.165089347826088</x:v>
      </x:c>
      <x:c r="I179" s="12" t="str">
        <x:f>'Weekly Projections'!H191</x:f>
        <x:v>ACTIVE</x:v>
      </x:c>
      <x:c r="J179" s="12" t="str">
        <x:f>'Weekly Projections'!AZ191</x:f>
        <x:v>High</x:v>
      </x:c>
      <x:c r="K179" s="12" t="n">
        <x:f>'Weekly Projections'!BA191</x:f>
        <x:v>5</x:v>
      </x:c>
      <x:c r="L179" s="12" t="n">
        <x:f>'Weekly Projections'!BC191</x:f>
        <x:v>54</x:v>
      </x:c>
      <x:c r="M179" s="12" t="str">
        <x:f>'Weekly Projections'!BD191</x:f>
        <x:v>↑</x:v>
      </x:c>
    </x:row>
    <x:row r="180">
      <x:c r="A180" s="14" t="n">
        <x:f>'Weekly Projections'!BB192</x:f>
        <x:v>54</x:v>
      </x:c>
      <x:c r="B180" s="12" t="str">
        <x:f>'Weekly Projections'!A192</x:f>
        <x:v>Rashod Bateman</x:v>
      </x:c>
      <x:c r="C180" s="12" t="str">
        <x:f>'Weekly Projections'!B192</x:f>
        <x:v>BAL</x:v>
      </x:c>
      <x:c r="D180" s="12" t="str">
        <x:f>'Weekly Projections'!C192</x:f>
        <x:v>WR</x:v>
      </x:c>
      <x:c r="E180" s="12" t="str">
        <x:f>'Weekly Projections'!D192</x:f>
        <x:v>DAL</x:v>
      </x:c>
      <x:c r="F180" s="13" t="n">
        <x:f>'Weekly Projections'!AW192</x:f>
        <x:v>5.865983999999999</x:v>
      </x:c>
      <x:c r="G180" s="13" t="n">
        <x:f>'Weekly Projections'!AX192</x:f>
        <x:v>3.0503116799999996</x:v>
      </x:c>
      <x:c r="H180" s="13" t="n">
        <x:f>'Weekly Projections'!AY192</x:f>
        <x:v>9.0922752</x:v>
      </x:c>
      <x:c r="I180" s="12" t="str">
        <x:f>'Weekly Projections'!H192</x:f>
        <x:v>ACTIVE</x:v>
      </x:c>
      <x:c r="J180" s="12" t="str">
        <x:f>'Weekly Projections'!AZ192</x:f>
        <x:v>High</x:v>
      </x:c>
      <x:c r="K180" s="12" t="n">
        <x:f>'Weekly Projections'!BA192</x:f>
        <x:v>5</x:v>
      </x:c>
      <x:c r="L180" s="12" t="n">
        <x:f>'Weekly Projections'!BC192</x:f>
        <x:v>55</x:v>
      </x:c>
      <x:c r="M180" s="12" t="str">
        <x:f>'Weekly Projections'!BD192</x:f>
        <x:v>↑</x:v>
      </x:c>
    </x:row>
    <x:row r="181">
      <x:c r="A181" s="14" t="n">
        <x:f>'Weekly Projections'!BB193</x:f>
        <x:v>55</x:v>
      </x:c>
      <x:c r="B181" s="12" t="str">
        <x:f>'Weekly Projections'!A193</x:f>
        <x:v>Calvin Ridley</x:v>
      </x:c>
      <x:c r="C181" s="12" t="str">
        <x:f>'Weekly Projections'!B193</x:f>
        <x:v>TEN</x:v>
      </x:c>
      <x:c r="D181" s="12" t="str">
        <x:f>'Weekly Projections'!C193</x:f>
        <x:v>WR</x:v>
      </x:c>
      <x:c r="E181" s="12" t="str">
        <x:f>'Weekly Projections'!D193</x:f>
        <x:v>NYG</x:v>
      </x:c>
      <x:c r="F181" s="13" t="n">
        <x:f>'Weekly Projections'!AW193</x:f>
        <x:v>5.749161739130434</x:v>
      </x:c>
      <x:c r="G181" s="13" t="n">
        <x:f>'Weekly Projections'!AX193</x:f>
        <x:v>2.989564104347826</x:v>
      </x:c>
      <x:c r="H181" s="13" t="n">
        <x:f>'Weekly Projections'!AY193</x:f>
        <x:v>8.911200695652173</x:v>
      </x:c>
      <x:c r="I181" s="12" t="str">
        <x:f>'Weekly Projections'!H193</x:f>
        <x:v>ACTIVE</x:v>
      </x:c>
      <x:c r="J181" s="12" t="str">
        <x:f>'Weekly Projections'!AZ193</x:f>
        <x:v>High</x:v>
      </x:c>
      <x:c r="K181" s="12" t="n">
        <x:f>'Weekly Projections'!BA193</x:f>
        <x:v>5</x:v>
      </x:c>
      <x:c r="L181" s="12" t="n">
        <x:f>'Weekly Projections'!BC193</x:f>
        <x:v>56</x:v>
      </x:c>
      <x:c r="M181" s="12" t="str">
        <x:f>'Weekly Projections'!BD193</x:f>
        <x:v>↑</x:v>
      </x:c>
    </x:row>
    <x:row r="182">
      <x:c r="A182" s="14" t="n">
        <x:f>'Weekly Projections'!BB194</x:f>
        <x:v>56</x:v>
      </x:c>
      <x:c r="B182" s="12" t="str">
        <x:f>'Weekly Projections'!A194</x:f>
        <x:v>Pat Bryant</x:v>
      </x:c>
      <x:c r="C182" s="12" t="str">
        <x:f>'Weekly Projections'!B194</x:f>
        <x:v>DEN</x:v>
      </x:c>
      <x:c r="D182" s="12" t="str">
        <x:f>'Weekly Projections'!C194</x:f>
        <x:v>WR</x:v>
      </x:c>
      <x:c r="E182" s="12" t="str">
        <x:f>'Weekly Projections'!D194</x:f>
        <x:v>LAR</x:v>
      </x:c>
      <x:c r="F182" s="13" t="n">
        <x:f>'Weekly Projections'!AW194</x:f>
        <x:v>5.709217391304348</x:v>
      </x:c>
      <x:c r="G182" s="13" t="n">
        <x:f>'Weekly Projections'!AX194</x:f>
        <x:v>2.968793043478261</x:v>
      </x:c>
      <x:c r="H182" s="13" t="n">
        <x:f>'Weekly Projections'!AY194</x:f>
        <x:v>8.84928695652174</x:v>
      </x:c>
      <x:c r="I182" s="12" t="str">
        <x:f>'Weekly Projections'!H194</x:f>
        <x:v>ACTIVE</x:v>
      </x:c>
      <x:c r="J182" s="12" t="str">
        <x:f>'Weekly Projections'!AZ194</x:f>
        <x:v>High</x:v>
      </x:c>
      <x:c r="K182" s="12" t="n">
        <x:f>'Weekly Projections'!BA194</x:f>
        <x:v>5</x:v>
      </x:c>
      <x:c r="L182" s="12" t="n">
        <x:f>'Weekly Projections'!BC194</x:f>
        <x:v>57</x:v>
      </x:c>
      <x:c r="M182" s="12" t="str">
        <x:f>'Weekly Projections'!BD194</x:f>
        <x:v>↑</x:v>
      </x:c>
    </x:row>
    <x:row r="183">
      <x:c r="A183" s="14" t="n">
        <x:f>'Weekly Projections'!BB195</x:f>
        <x:v>57</x:v>
      </x:c>
      <x:c r="B183" s="12" t="str">
        <x:f>'Weekly Projections'!A195</x:f>
        <x:v>Keenan Allen</x:v>
      </x:c>
      <x:c r="C183" s="12" t="str">
        <x:f>'Weekly Projections'!B195</x:f>
        <x:v>IND</x:v>
      </x:c>
      <x:c r="D183" s="12" t="str">
        <x:f>'Weekly Projections'!C195</x:f>
        <x:v>WR</x:v>
      </x:c>
      <x:c r="E183" s="12" t="str">
        <x:f>'Weekly Projections'!D195</x:f>
        <x:v>HOU</x:v>
      </x:c>
      <x:c r="F183" s="13" t="n">
        <x:f>'Weekly Projections'!AW195</x:f>
        <x:v>5.669130434782611</x:v>
      </x:c>
      <x:c r="G183" s="13" t="n">
        <x:f>'Weekly Projections'!AX195</x:f>
        <x:v>2.9479478260869576</x:v>
      </x:c>
      <x:c r="H183" s="13" t="n">
        <x:f>'Weekly Projections'!AY195</x:f>
        <x:v>8.787152173913046</x:v>
      </x:c>
      <x:c r="I183" s="12" t="str">
        <x:f>'Weekly Projections'!H195</x:f>
        <x:v>ACTIVE</x:v>
      </x:c>
      <x:c r="J183" s="12" t="str">
        <x:f>'Weekly Projections'!AZ195</x:f>
        <x:v>High</x:v>
      </x:c>
      <x:c r="K183" s="12" t="n">
        <x:f>'Weekly Projections'!BA195</x:f>
        <x:v>6</x:v>
      </x:c>
      <x:c r="L183" s="12" t="n">
        <x:f>'Weekly Projections'!BC195</x:f>
        <x:v>58</x:v>
      </x:c>
      <x:c r="M183" s="12" t="str">
        <x:f>'Weekly Projections'!BD195</x:f>
        <x:v>↑</x:v>
      </x:c>
    </x:row>
    <x:row r="184">
      <x:c r="A184" s="14" t="n">
        <x:f>'Weekly Projections'!BB196</x:f>
        <x:v>58</x:v>
      </x:c>
      <x:c r="B184" s="12" t="str">
        <x:f>'Weekly Projections'!A196</x:f>
        <x:v>KC Concepcion</x:v>
      </x:c>
      <x:c r="C184" s="12" t="str">
        <x:f>'Weekly Projections'!B196</x:f>
        <x:v>CLE</x:v>
      </x:c>
      <x:c r="D184" s="12" t="str">
        <x:f>'Weekly Projections'!C196</x:f>
        <x:v>WR</x:v>
      </x:c>
      <x:c r="E184" s="12" t="str">
        <x:f>'Weekly Projections'!D196</x:f>
        <x:v>CAR</x:v>
      </x:c>
      <x:c r="F184" s="13" t="n">
        <x:f>'Weekly Projections'!AW196</x:f>
        <x:v>5.638566956521739</x:v>
      </x:c>
      <x:c r="G184" s="13" t="n">
        <x:f>'Weekly Projections'!AX196</x:f>
        <x:v>2.9320548173913044</x:v>
      </x:c>
      <x:c r="H184" s="13" t="n">
        <x:f>'Weekly Projections'!AY196</x:f>
        <x:v>8.739778782608695</x:v>
      </x:c>
      <x:c r="I184" s="12" t="str">
        <x:f>'Weekly Projections'!H196</x:f>
        <x:v>ACTIVE</x:v>
      </x:c>
      <x:c r="J184" s="12" t="str">
        <x:f>'Weekly Projections'!AZ196</x:f>
        <x:v>High</x:v>
      </x:c>
      <x:c r="K184" s="12" t="n">
        <x:f>'Weekly Projections'!BA196</x:f>
        <x:v>6</x:v>
      </x:c>
      <x:c r="L184" s="12" t="n">
        <x:f>'Weekly Projections'!BC196</x:f>
        <x:v>59</x:v>
      </x:c>
      <x:c r="M184" s="12" t="str">
        <x:f>'Weekly Projections'!BD196</x:f>
        <x:v>↑</x:v>
      </x:c>
    </x:row>
    <x:row r="185">
      <x:c r="A185" s="14" t="n">
        <x:f>'Weekly Projections'!BB198</x:f>
        <x:v>59</x:v>
      </x:c>
      <x:c r="B185" s="12" t="str">
        <x:f>'Weekly Projections'!A198</x:f>
        <x:v>Jauan Jennings</x:v>
      </x:c>
      <x:c r="C185" s="12" t="str">
        <x:f>'Weekly Projections'!B198</x:f>
        <x:v>MIN</x:v>
      </x:c>
      <x:c r="D185" s="12" t="str">
        <x:f>'Weekly Projections'!C198</x:f>
        <x:v>WR</x:v>
      </x:c>
      <x:c r="E185" s="12" t="str">
        <x:f>'Weekly Projections'!D198</x:f>
        <x:v>TB</x:v>
      </x:c>
      <x:c r="F185" s="13" t="n">
        <x:f>'Weekly Projections'!AW198</x:f>
        <x:v>5.599561739130435</x:v>
      </x:c>
      <x:c r="G185" s="13" t="n">
        <x:f>'Weekly Projections'!AX198</x:f>
        <x:v>2.911772104347826</x:v>
      </x:c>
      <x:c r="H185" s="13" t="n">
        <x:f>'Weekly Projections'!AY198</x:f>
        <x:v>8.679320695652175</x:v>
      </x:c>
      <x:c r="I185" s="12" t="str">
        <x:f>'Weekly Projections'!H198</x:f>
        <x:v>ACTIVE</x:v>
      </x:c>
      <x:c r="J185" s="12" t="str">
        <x:f>'Weekly Projections'!AZ198</x:f>
        <x:v>Moderate</x:v>
      </x:c>
      <x:c r="K185" s="12" t="n">
        <x:f>'Weekly Projections'!BA198</x:f>
        <x:v>6</x:v>
      </x:c>
      <x:c r="L185" s="12" t="n">
        <x:f>'Weekly Projections'!BC198</x:f>
        <x:v>61</x:v>
      </x:c>
      <x:c r="M185" s="12" t="str">
        <x:f>'Weekly Projections'!BD198</x:f>
        <x:v>↑</x:v>
      </x:c>
    </x:row>
    <x:row r="186">
      <x:c r="A186" s="14" t="n">
        <x:f>'Weekly Projections'!BB199</x:f>
        <x:v>60</x:v>
      </x:c>
      <x:c r="B186" s="12" t="str">
        <x:f>'Weekly Projections'!A199</x:f>
        <x:v>Jalen Nailor</x:v>
      </x:c>
      <x:c r="C186" s="12" t="str">
        <x:f>'Weekly Projections'!B199</x:f>
        <x:v>LV</x:v>
      </x:c>
      <x:c r="D186" s="12" t="str">
        <x:f>'Weekly Projections'!C199</x:f>
        <x:v>WR</x:v>
      </x:c>
      <x:c r="E186" s="12" t="str">
        <x:f>'Weekly Projections'!D199</x:f>
        <x:v>NO</x:v>
      </x:c>
      <x:c r="F186" s="13" t="n">
        <x:f>'Weekly Projections'!AW199</x:f>
        <x:v>5.59824695652174</x:v>
      </x:c>
      <x:c r="G186" s="13" t="n">
        <x:f>'Weekly Projections'!AX199</x:f>
        <x:v>2.9110884173913045</x:v>
      </x:c>
      <x:c r="H186" s="13" t="n">
        <x:f>'Weekly Projections'!AY199</x:f>
        <x:v>8.677282782608696</x:v>
      </x:c>
      <x:c r="I186" s="12" t="str">
        <x:f>'Weekly Projections'!H199</x:f>
        <x:v>ACTIVE</x:v>
      </x:c>
      <x:c r="J186" s="12" t="str">
        <x:f>'Weekly Projections'!AZ199</x:f>
        <x:v>High</x:v>
      </x:c>
      <x:c r="K186" s="12" t="n">
        <x:f>'Weekly Projections'!BA199</x:f>
        <x:v>6</x:v>
      </x:c>
      <x:c r="L186" s="12" t="n">
        <x:f>'Weekly Projections'!BC199</x:f>
        <x:v>62</x:v>
      </x:c>
      <x:c r="M186" s="12" t="str">
        <x:f>'Weekly Projections'!BD199</x:f>
        <x:v>↑</x:v>
      </x:c>
    </x:row>
    <x:row r="187">
      <x:c r="A187" s="14" t="n">
        <x:f>'Weekly Projections'!BB200</x:f>
        <x:v>61</x:v>
      </x:c>
      <x:c r="B187" s="12" t="str">
        <x:f>'Weekly Projections'!A200</x:f>
        <x:v>Cyrus Allen</x:v>
      </x:c>
      <x:c r="C187" s="12" t="str">
        <x:f>'Weekly Projections'!B200</x:f>
        <x:v>KC</x:v>
      </x:c>
      <x:c r="D187" s="12" t="str">
        <x:f>'Weekly Projections'!C200</x:f>
        <x:v>WR</x:v>
      </x:c>
      <x:c r="E187" s="12" t="str">
        <x:f>'Weekly Projections'!D200</x:f>
        <x:v>MIA</x:v>
      </x:c>
      <x:c r="F187" s="13" t="n">
        <x:f>'Weekly Projections'!AW200</x:f>
        <x:v>5.343070434782609</x:v>
      </x:c>
      <x:c r="G187" s="13" t="n">
        <x:f>'Weekly Projections'!AX200</x:f>
        <x:v>2.778396626086957</x:v>
      </x:c>
      <x:c r="H187" s="13" t="n">
        <x:f>'Weekly Projections'!AY200</x:f>
        <x:v>8.281759173913045</x:v>
      </x:c>
      <x:c r="I187" s="12" t="str">
        <x:f>'Weekly Projections'!H200</x:f>
        <x:v>ACTIVE</x:v>
      </x:c>
      <x:c r="J187" s="12" t="str">
        <x:f>'Weekly Projections'!AZ200</x:f>
        <x:v>High</x:v>
      </x:c>
      <x:c r="K187" s="12" t="n">
        <x:f>'Weekly Projections'!BA200</x:f>
        <x:v>6</x:v>
      </x:c>
      <x:c r="L187" s="12" t="n">
        <x:f>'Weekly Projections'!BC200</x:f>
        <x:v>63</x:v>
      </x:c>
      <x:c r="M187" s="12" t="str">
        <x:f>'Weekly Projections'!BD200</x:f>
        <x:v>↑</x:v>
      </x:c>
    </x:row>
    <x:row r="188">
      <x:c r="A188" s="14" t="n">
        <x:f>'Weekly Projections'!BB201</x:f>
        <x:v>62</x:v>
      </x:c>
      <x:c r="B188" s="12" t="str">
        <x:f>'Weekly Projections'!A201</x:f>
        <x:v>Makai Lemon</x:v>
      </x:c>
      <x:c r="C188" s="12" t="str">
        <x:f>'Weekly Projections'!B201</x:f>
        <x:v>PHI</x:v>
      </x:c>
      <x:c r="D188" s="12" t="str">
        <x:f>'Weekly Projections'!C201</x:f>
        <x:v>WR</x:v>
      </x:c>
      <x:c r="E188" s="12" t="str">
        <x:f>'Weekly Projections'!D201</x:f>
        <x:v>CHI</x:v>
      </x:c>
      <x:c r="F188" s="13" t="n">
        <x:f>'Weekly Projections'!AW201</x:f>
        <x:v>5.301959999999999</x:v>
      </x:c>
      <x:c r="G188" s="13" t="n">
        <x:f>'Weekly Projections'!AX201</x:f>
        <x:v>2.7570192</x:v>
      </x:c>
      <x:c r="H188" s="13" t="n">
        <x:f>'Weekly Projections'!AY201</x:f>
        <x:v>8.218038</x:v>
      </x:c>
      <x:c r="I188" s="12" t="str">
        <x:f>'Weekly Projections'!H201</x:f>
        <x:v>ACTIVE</x:v>
      </x:c>
      <x:c r="J188" s="12" t="str">
        <x:f>'Weekly Projections'!AZ201</x:f>
        <x:v>High</x:v>
      </x:c>
      <x:c r="K188" s="12" t="n">
        <x:f>'Weekly Projections'!BA201</x:f>
        <x:v>6</x:v>
      </x:c>
      <x:c r="L188" s="12" t="n">
        <x:f>'Weekly Projections'!BC201</x:f>
        <x:v>64</x:v>
      </x:c>
      <x:c r="M188" s="12" t="str">
        <x:f>'Weekly Projections'!BD201</x:f>
        <x:v>↑</x:v>
      </x:c>
    </x:row>
    <x:row r="189">
      <x:c r="A189" s="14" t="n">
        <x:f>'Weekly Projections'!BB202</x:f>
        <x:v>63</x:v>
      </x:c>
      <x:c r="B189" s="12" t="str">
        <x:f>'Weekly Projections'!A202</x:f>
        <x:v>Jalen Coker</x:v>
      </x:c>
      <x:c r="C189" s="12" t="str">
        <x:f>'Weekly Projections'!B202</x:f>
        <x:v>CAR</x:v>
      </x:c>
      <x:c r="D189" s="12" t="str">
        <x:f>'Weekly Projections'!C202</x:f>
        <x:v>WR</x:v>
      </x:c>
      <x:c r="E189" s="12" t="str">
        <x:f>'Weekly Projections'!D202</x:f>
        <x:v>CLE</x:v>
      </x:c>
      <x:c r="F189" s="13" t="n">
        <x:f>'Weekly Projections'!AW202</x:f>
        <x:v>5.203</x:v>
      </x:c>
      <x:c r="G189" s="13" t="n">
        <x:f>'Weekly Projections'!AX202</x:f>
        <x:v>2.70556</x:v>
      </x:c>
      <x:c r="H189" s="13" t="n">
        <x:f>'Weekly Projections'!AY202</x:f>
        <x:v>8.06465</x:v>
      </x:c>
      <x:c r="I189" s="12" t="str">
        <x:f>'Weekly Projections'!H202</x:f>
        <x:v>ACTIVE</x:v>
      </x:c>
      <x:c r="J189" s="12" t="str">
        <x:f>'Weekly Projections'!AZ202</x:f>
        <x:v>High</x:v>
      </x:c>
      <x:c r="K189" s="12" t="n">
        <x:f>'Weekly Projections'!BA202</x:f>
        <x:v>6</x:v>
      </x:c>
      <x:c r="L189" s="12" t="n">
        <x:f>'Weekly Projections'!BC202</x:f>
        <x:v>65</x:v>
      </x:c>
      <x:c r="M189" s="12" t="str">
        <x:f>'Weekly Projections'!BD202</x:f>
        <x:v>↑</x:v>
      </x:c>
    </x:row>
    <x:row r="190">
      <x:c r="A190" s="14" t="n">
        <x:f>'Weekly Projections'!BB197</x:f>
        <x:v>64</x:v>
      </x:c>
      <x:c r="B190" s="12" t="str">
        <x:f>'Weekly Projections'!A197</x:f>
        <x:v>Malachi Fields</x:v>
      </x:c>
      <x:c r="C190" s="12" t="str">
        <x:f>'Weekly Projections'!B197</x:f>
        <x:v>NYG</x:v>
      </x:c>
      <x:c r="D190" s="12" t="str">
        <x:f>'Weekly Projections'!C197</x:f>
        <x:v>WR</x:v>
      </x:c>
      <x:c r="E190" s="12" t="str">
        <x:f>'Weekly Projections'!D197</x:f>
        <x:v>TEN</x:v>
      </x:c>
      <x:c r="F190" s="13" t="n">
        <x:f>'Weekly Projections'!AW197</x:f>
        <x:v>5.062611130434783</x:v>
      </x:c>
      <x:c r="G190" s="13" t="n">
        <x:f>'Weekly Projections'!AX197</x:f>
        <x:v>2.6325577878260873</x:v>
      </x:c>
      <x:c r="H190" s="13" t="n">
        <x:f>'Weekly Projections'!AY197</x:f>
        <x:v>7.8470472521739145</x:v>
      </x:c>
      <x:c r="I190" s="12" t="str">
        <x:f>'Weekly Projections'!H197</x:f>
        <x:v>ACTIVE</x:v>
      </x:c>
      <x:c r="J190" s="12" t="str">
        <x:f>'Weekly Projections'!AZ197</x:f>
        <x:v>Moderate</x:v>
      </x:c>
      <x:c r="K190" s="12" t="n">
        <x:f>'Weekly Projections'!BA197</x:f>
        <x:v>6</x:v>
      </x:c>
      <x:c r="L190" s="12" t="n">
        <x:f>'Weekly Projections'!BC197</x:f>
        <x:v>60</x:v>
      </x:c>
      <x:c r="M190" s="12" t="str">
        <x:f>'Weekly Projections'!BD197</x:f>
        <x:v>↓</x:v>
      </x:c>
    </x:row>
    <x:row r="191">
      <x:c r="A191" s="14" t="n">
        <x:f>'Weekly Projections'!BB203</x:f>
        <x:v>65</x:v>
      </x:c>
      <x:c r="B191" s="12" t="str">
        <x:f>'Weekly Projections'!A203</x:f>
        <x:v>Nico Collins</x:v>
      </x:c>
      <x:c r="C191" s="12" t="str">
        <x:f>'Weekly Projections'!B203</x:f>
        <x:v>HOU</x:v>
      </x:c>
      <x:c r="D191" s="12" t="str">
        <x:f>'Weekly Projections'!C203</x:f>
        <x:v>WR</x:v>
      </x:c>
      <x:c r="E191" s="12" t="str">
        <x:f>'Weekly Projections'!D203</x:f>
        <x:v>IND</x:v>
      </x:c>
      <x:c r="F191" s="13" t="n">
        <x:f>'Weekly Projections'!AW203</x:f>
        <x:v>4.70828736</x:v>
      </x:c>
      <x:c r="G191" s="13" t="n">
        <x:f>'Weekly Projections'!AX203</x:f>
        <x:v>2.4483094272</x:v>
      </x:c>
      <x:c r="H191" s="13" t="n">
        <x:f>'Weekly Projections'!AY203</x:f>
        <x:v>7.297845408</x:v>
      </x:c>
      <x:c r="I191" s="12" t="str">
        <x:f>'Weekly Projections'!H203</x:f>
        <x:v>QUESTIONABLE</x:v>
      </x:c>
      <x:c r="J191" s="12" t="str">
        <x:f>'Weekly Projections'!AZ203</x:f>
        <x:v>Low</x:v>
      </x:c>
      <x:c r="K191" s="12" t="n">
        <x:f>'Weekly Projections'!BA203</x:f>
        <x:v>6</x:v>
      </x:c>
      <x:c r="L191" s="12" t="n">
        <x:f>'Weekly Projections'!BC203</x:f>
        <x:v>66</x:v>
      </x:c>
      <x:c r="M191" s="12" t="str">
        <x:f>'Weekly Projections'!BD203</x:f>
        <x:v>↑</x:v>
      </x:c>
    </x:row>
    <x:row r="192">
      <x:c r="A192" s="14" t="n">
        <x:f>'Weekly Projections'!BB204</x:f>
        <x:v>66</x:v>
      </x:c>
      <x:c r="B192" s="12" t="str">
        <x:f>'Weekly Projections'!A204</x:f>
        <x:v>Mack Hollins</x:v>
      </x:c>
      <x:c r="C192" s="12" t="str">
        <x:f>'Weekly Projections'!B204</x:f>
        <x:v>NE</x:v>
      </x:c>
      <x:c r="D192" s="12" t="str">
        <x:f>'Weekly Projections'!C204</x:f>
        <x:v>WR</x:v>
      </x:c>
      <x:c r="E192" s="12" t="str">
        <x:f>'Weekly Projections'!D204</x:f>
        <x:v>JAX</x:v>
      </x:c>
      <x:c r="F192" s="13" t="n">
        <x:f>'Weekly Projections'!AW204</x:f>
        <x:v>4.698528695652175</x:v>
      </x:c>
      <x:c r="G192" s="13" t="n">
        <x:f>'Weekly Projections'!AX204</x:f>
        <x:v>2.4432349217391307</x:v>
      </x:c>
      <x:c r="H192" s="13" t="n">
        <x:f>'Weekly Projections'!AY204</x:f>
        <x:v>7.282719478260871</x:v>
      </x:c>
      <x:c r="I192" s="12" t="str">
        <x:f>'Weekly Projections'!H204</x:f>
        <x:v>ACTIVE</x:v>
      </x:c>
      <x:c r="J192" s="12" t="str">
        <x:f>'Weekly Projections'!AZ204</x:f>
        <x:v>High</x:v>
      </x:c>
      <x:c r="K192" s="12" t="n">
        <x:f>'Weekly Projections'!BA204</x:f>
        <x:v>6</x:v>
      </x:c>
      <x:c r="L192" s="12" t="n">
        <x:f>'Weekly Projections'!BC204</x:f>
        <x:v>67</x:v>
      </x:c>
      <x:c r="M192" s="12" t="str">
        <x:f>'Weekly Projections'!BD204</x:f>
        <x:v>↑</x:v>
      </x:c>
    </x:row>
    <x:row r="193">
      <x:c r="A193" s="14" t="n">
        <x:f>'Weekly Projections'!BB205</x:f>
        <x:v>67</x:v>
      </x:c>
      <x:c r="B193" s="12" t="str">
        <x:f>'Weekly Projections'!A205</x:f>
        <x:v>Romeo Doubs</x:v>
      </x:c>
      <x:c r="C193" s="12" t="str">
        <x:f>'Weekly Projections'!B205</x:f>
        <x:v>NE</x:v>
      </x:c>
      <x:c r="D193" s="12" t="str">
        <x:f>'Weekly Projections'!C205</x:f>
        <x:v>WR</x:v>
      </x:c>
      <x:c r="E193" s="12" t="str">
        <x:f>'Weekly Projections'!D205</x:f>
        <x:v>JAX</x:v>
      </x:c>
      <x:c r="F193" s="13" t="n">
        <x:f>'Weekly Projections'!AW205</x:f>
        <x:v>4.698528695652175</x:v>
      </x:c>
      <x:c r="G193" s="13" t="n">
        <x:f>'Weekly Projections'!AX205</x:f>
        <x:v>2.4432349217391307</x:v>
      </x:c>
      <x:c r="H193" s="13" t="n">
        <x:f>'Weekly Projections'!AY205</x:f>
        <x:v>7.282719478260871</x:v>
      </x:c>
      <x:c r="I193" s="12" t="str">
        <x:f>'Weekly Projections'!H205</x:f>
        <x:v>ACTIVE</x:v>
      </x:c>
      <x:c r="J193" s="12" t="str">
        <x:f>'Weekly Projections'!AZ205</x:f>
        <x:v>High</x:v>
      </x:c>
      <x:c r="K193" s="12" t="n">
        <x:f>'Weekly Projections'!BA205</x:f>
        <x:v>6</x:v>
      </x:c>
      <x:c r="L193" s="12" t="n">
        <x:f>'Weekly Projections'!BC205</x:f>
        <x:v>68</x:v>
      </x:c>
      <x:c r="M193" s="12" t="str">
        <x:f>'Weekly Projections'!BD205</x:f>
        <x:v>↑</x:v>
      </x:c>
    </x:row>
    <x:row r="194">
      <x:c r="A194" s="14" t="n">
        <x:f>'Weekly Projections'!BB206</x:f>
        <x:v>68</x:v>
      </x:c>
      <x:c r="B194" s="12" t="str">
        <x:f>'Weekly Projections'!A206</x:f>
        <x:v>Jalen McMillan</x:v>
      </x:c>
      <x:c r="C194" s="12" t="str">
        <x:f>'Weekly Projections'!B206</x:f>
        <x:v>TB</x:v>
      </x:c>
      <x:c r="D194" s="12" t="str">
        <x:f>'Weekly Projections'!C206</x:f>
        <x:v>WR</x:v>
      </x:c>
      <x:c r="E194" s="12" t="str">
        <x:f>'Weekly Projections'!D206</x:f>
        <x:v>MIN</x:v>
      </x:c>
      <x:c r="F194" s="13" t="n">
        <x:f>'Weekly Projections'!AW206</x:f>
        <x:v>4.662481739130435</x:v>
      </x:c>
      <x:c r="G194" s="13" t="n">
        <x:f>'Weekly Projections'!AX206</x:f>
        <x:v>2.424490504347826</x:v>
      </x:c>
      <x:c r="H194" s="13" t="n">
        <x:f>'Weekly Projections'!AY206</x:f>
        <x:v>7.226846695652174</x:v>
      </x:c>
      <x:c r="I194" s="12" t="str">
        <x:f>'Weekly Projections'!H206</x:f>
        <x:v>ACTIVE</x:v>
      </x:c>
      <x:c r="J194" s="12" t="str">
        <x:f>'Weekly Projections'!AZ206</x:f>
        <x:v>High</x:v>
      </x:c>
      <x:c r="K194" s="12" t="n">
        <x:f>'Weekly Projections'!BA206</x:f>
        <x:v>6</x:v>
      </x:c>
      <x:c r="L194" s="12" t="n">
        <x:f>'Weekly Projections'!BC206</x:f>
        <x:v>69</x:v>
      </x:c>
      <x:c r="M194" s="12" t="str">
        <x:f>'Weekly Projections'!BD206</x:f>
        <x:v>↑</x:v>
      </x:c>
    </x:row>
    <x:row r="195">
      <x:c r="A195" s="14" t="n">
        <x:f>'Weekly Projections'!BB207</x:f>
        <x:v>69</x:v>
      </x:c>
      <x:c r="B195" s="12" t="str">
        <x:f>'Weekly Projections'!A207</x:f>
        <x:v>Zachariah Branch</x:v>
      </x:c>
      <x:c r="C195" s="12" t="str">
        <x:f>'Weekly Projections'!B207</x:f>
        <x:v>ATL</x:v>
      </x:c>
      <x:c r="D195" s="12" t="str">
        <x:f>'Weekly Projections'!C207</x:f>
        <x:v>WR</x:v>
      </x:c>
      <x:c r="E195" s="12" t="str">
        <x:f>'Weekly Projections'!D207</x:f>
        <x:v>GB</x:v>
      </x:c>
      <x:c r="F195" s="13" t="n">
        <x:f>'Weekly Projections'!AW207</x:f>
        <x:v>4.541551304347825</x:v>
      </x:c>
      <x:c r="G195" s="13" t="n">
        <x:f>'Weekly Projections'!AX207</x:f>
        <x:v>2.3616066782608693</x:v>
      </x:c>
      <x:c r="H195" s="13" t="n">
        <x:f>'Weekly Projections'!AY207</x:f>
        <x:v>7.0394045217391294</x:v>
      </x:c>
      <x:c r="I195" s="12" t="str">
        <x:f>'Weekly Projections'!H207</x:f>
        <x:v>ACTIVE</x:v>
      </x:c>
      <x:c r="J195" s="12" t="str">
        <x:f>'Weekly Projections'!AZ207</x:f>
        <x:v>High</x:v>
      </x:c>
      <x:c r="K195" s="12" t="n">
        <x:f>'Weekly Projections'!BA207</x:f>
        <x:v>7</x:v>
      </x:c>
      <x:c r="L195" s="12" t="n">
        <x:f>'Weekly Projections'!BC207</x:f>
        <x:v>70</x:v>
      </x:c>
      <x:c r="M195" s="12" t="str">
        <x:f>'Weekly Projections'!BD207</x:f>
        <x:v>↑</x:v>
      </x:c>
    </x:row>
    <x:row r="196">
      <x:c r="A196" s="14" t="n">
        <x:f>'Weekly Projections'!BB208</x:f>
        <x:v>70</x:v>
      </x:c>
      <x:c r="B196" s="12" t="str">
        <x:f>'Weekly Projections'!A208</x:f>
        <x:v>Jaylin Noel</x:v>
      </x:c>
      <x:c r="C196" s="12" t="str">
        <x:f>'Weekly Projections'!B208</x:f>
        <x:v>HOU</x:v>
      </x:c>
      <x:c r="D196" s="12" t="str">
        <x:f>'Weekly Projections'!C208</x:f>
        <x:v>WR</x:v>
      </x:c>
      <x:c r="E196" s="12" t="str">
        <x:f>'Weekly Projections'!D208</x:f>
        <x:v>IND</x:v>
      </x:c>
      <x:c r="F196" s="13" t="n">
        <x:f>'Weekly Projections'!AW208</x:f>
        <x:v>4.358171443478261</x:v>
      </x:c>
      <x:c r="G196" s="13" t="n">
        <x:f>'Weekly Projections'!AX208</x:f>
        <x:v>2.2662491506086955</x:v>
      </x:c>
      <x:c r="H196" s="13" t="n">
        <x:f>'Weekly Projections'!AY208</x:f>
        <x:v>6.755165737391304</x:v>
      </x:c>
      <x:c r="I196" s="12" t="str">
        <x:f>'Weekly Projections'!H208</x:f>
        <x:v>ACTIVE</x:v>
      </x:c>
      <x:c r="J196" s="12" t="str">
        <x:f>'Weekly Projections'!AZ208</x:f>
        <x:v>High</x:v>
      </x:c>
      <x:c r="K196" s="12" t="n">
        <x:f>'Weekly Projections'!BA208</x:f>
        <x:v>7</x:v>
      </x:c>
      <x:c r="L196" s="12" t="n">
        <x:f>'Weekly Projections'!BC208</x:f>
        <x:v>71</x:v>
      </x:c>
      <x:c r="M196" s="12" t="str">
        <x:f>'Weekly Projections'!BD208</x:f>
        <x:v>↑</x:v>
      </x:c>
    </x:row>
    <x:row r="197">
      <x:c r="A197" s="14" t="n">
        <x:f>'Weekly Projections'!BB209</x:f>
        <x:v>71</x:v>
      </x:c>
      <x:c r="B197" s="12" t="str">
        <x:f>'Weekly Projections'!A209</x:f>
        <x:v>Kayshon Boutte</x:v>
      </x:c>
      <x:c r="C197" s="12" t="str">
        <x:f>'Weekly Projections'!B209</x:f>
        <x:v>HOU</x:v>
      </x:c>
      <x:c r="D197" s="12" t="str">
        <x:f>'Weekly Projections'!C209</x:f>
        <x:v>WR</x:v>
      </x:c>
      <x:c r="E197" s="12" t="str">
        <x:f>'Weekly Projections'!D209</x:f>
        <x:v>IND</x:v>
      </x:c>
      <x:c r="F197" s="13" t="n">
        <x:f>'Weekly Projections'!AW209</x:f>
        <x:v>4.358171443478261</x:v>
      </x:c>
      <x:c r="G197" s="13" t="n">
        <x:f>'Weekly Projections'!AX209</x:f>
        <x:v>2.2662491506086955</x:v>
      </x:c>
      <x:c r="H197" s="13" t="n">
        <x:f>'Weekly Projections'!AY209</x:f>
        <x:v>6.755165737391304</x:v>
      </x:c>
      <x:c r="I197" s="12" t="str">
        <x:f>'Weekly Projections'!H209</x:f>
        <x:v>ACTIVE</x:v>
      </x:c>
      <x:c r="J197" s="12" t="str">
        <x:f>'Weekly Projections'!AZ209</x:f>
        <x:v>High</x:v>
      </x:c>
      <x:c r="K197" s="12" t="n">
        <x:f>'Weekly Projections'!BA209</x:f>
        <x:v>7</x:v>
      </x:c>
      <x:c r="L197" s="12" t="n">
        <x:f>'Weekly Projections'!BC209</x:f>
        <x:v>72</x:v>
      </x:c>
      <x:c r="M197" s="12" t="str">
        <x:f>'Weekly Projections'!BD209</x:f>
        <x:v>↑</x:v>
      </x:c>
    </x:row>
    <x:row r="198">
      <x:c r="A198" s="14" t="n">
        <x:f>'Weekly Projections'!BB210</x:f>
        <x:v>72</x:v>
      </x:c>
      <x:c r="B198" s="12" t="str">
        <x:f>'Weekly Projections'!A210</x:f>
        <x:v>Andrei Iosivas</x:v>
      </x:c>
      <x:c r="C198" s="12" t="str">
        <x:f>'Weekly Projections'!B210</x:f>
        <x:v>CIN</x:v>
      </x:c>
      <x:c r="D198" s="12" t="str">
        <x:f>'Weekly Projections'!C210</x:f>
        <x:v>WR</x:v>
      </x:c>
      <x:c r="E198" s="12" t="str">
        <x:f>'Weekly Projections'!D210</x:f>
        <x:v>PIT</x:v>
      </x:c>
      <x:c r="F198" s="13" t="n">
        <x:f>'Weekly Projections'!AW210</x:f>
        <x:v>4.330097391304348</x:v>
      </x:c>
      <x:c r="G198" s="13" t="n">
        <x:f>'Weekly Projections'!AX210</x:f>
        <x:v>2.251650643478261</x:v>
      </x:c>
      <x:c r="H198" s="13" t="n">
        <x:f>'Weekly Projections'!AY210</x:f>
        <x:v>6.71165095652174</x:v>
      </x:c>
      <x:c r="I198" s="12" t="str">
        <x:f>'Weekly Projections'!H210</x:f>
        <x:v>ACTIVE</x:v>
      </x:c>
      <x:c r="J198" s="12" t="str">
        <x:f>'Weekly Projections'!AZ210</x:f>
        <x:v>High</x:v>
      </x:c>
      <x:c r="K198" s="12" t="n">
        <x:f>'Weekly Projections'!BA210</x:f>
        <x:v>7</x:v>
      </x:c>
      <x:c r="L198" s="12" t="n">
        <x:f>'Weekly Projections'!BC210</x:f>
        <x:v>73</x:v>
      </x:c>
      <x:c r="M198" s="12" t="str">
        <x:f>'Weekly Projections'!BD210</x:f>
        <x:v>↑</x:v>
      </x:c>
    </x:row>
    <x:row r="199">
      <x:c r="A199" s="14" t="n">
        <x:f>'Weekly Projections'!BB211</x:f>
        <x:v>73</x:v>
      </x:c>
      <x:c r="B199" s="12" t="str">
        <x:f>'Weekly Projections'!A211</x:f>
        <x:v>Darius Slayton</x:v>
      </x:c>
      <x:c r="C199" s="12" t="str">
        <x:f>'Weekly Projections'!B211</x:f>
        <x:v>IND</x:v>
      </x:c>
      <x:c r="D199" s="12" t="str">
        <x:f>'Weekly Projections'!C211</x:f>
        <x:v>WR</x:v>
      </x:c>
      <x:c r="E199" s="12" t="str">
        <x:f>'Weekly Projections'!D211</x:f>
        <x:v>HOU</x:v>
      </x:c>
      <x:c r="F199" s="13" t="n">
        <x:f>'Weekly Projections'!AW211</x:f>
        <x:v>4.1715</x:v>
      </x:c>
      <x:c r="G199" s="13" t="n">
        <x:f>'Weekly Projections'!AX211</x:f>
        <x:v>2.16918</x:v>
      </x:c>
      <x:c r="H199" s="13" t="n">
        <x:f>'Weekly Projections'!AY211</x:f>
        <x:v>6.465825000000001</x:v>
      </x:c>
      <x:c r="I199" s="12" t="str">
        <x:f>'Weekly Projections'!H211</x:f>
        <x:v>ACTIVE</x:v>
      </x:c>
      <x:c r="J199" s="12" t="str">
        <x:f>'Weekly Projections'!AZ211</x:f>
        <x:v>Moderate</x:v>
      </x:c>
      <x:c r="K199" s="12" t="n">
        <x:f>'Weekly Projections'!BA211</x:f>
        <x:v>7</x:v>
      </x:c>
      <x:c r="L199" s="12" t="n">
        <x:f>'Weekly Projections'!BC211</x:f>
        <x:v>74</x:v>
      </x:c>
      <x:c r="M199" s="12" t="str">
        <x:f>'Weekly Projections'!BD211</x:f>
        <x:v>↑</x:v>
      </x:c>
    </x:row>
    <x:row r="200">
      <x:c r="A200" s="14" t="n">
        <x:f>'Weekly Projections'!BB212</x:f>
        <x:v>74</x:v>
      </x:c>
      <x:c r="B200" s="12" t="str">
        <x:f>'Weekly Projections'!A212</x:f>
        <x:v>Dontayvion Wicks</x:v>
      </x:c>
      <x:c r="C200" s="12" t="str">
        <x:f>'Weekly Projections'!B212</x:f>
        <x:v>PHI</x:v>
      </x:c>
      <x:c r="D200" s="12" t="str">
        <x:f>'Weekly Projections'!C212</x:f>
        <x:v>WR</x:v>
      </x:c>
      <x:c r="E200" s="12" t="str">
        <x:f>'Weekly Projections'!D212</x:f>
        <x:v>CHI</x:v>
      </x:c>
      <x:c r="F200" s="13" t="n">
        <x:f>'Weekly Projections'!AW212</x:f>
        <x:v>4.158399999999999</x:v>
      </x:c>
      <x:c r="G200" s="13" t="n">
        <x:f>'Weekly Projections'!AX212</x:f>
        <x:v>2.162368</x:v>
      </x:c>
      <x:c r="H200" s="13" t="n">
        <x:f>'Weekly Projections'!AY212</x:f>
        <x:v>6.445519999999999</x:v>
      </x:c>
      <x:c r="I200" s="12" t="str">
        <x:f>'Weekly Projections'!H212</x:f>
        <x:v>ACTIVE</x:v>
      </x:c>
      <x:c r="J200" s="12" t="str">
        <x:f>'Weekly Projections'!AZ212</x:f>
        <x:v>High</x:v>
      </x:c>
      <x:c r="K200" s="12" t="n">
        <x:f>'Weekly Projections'!BA212</x:f>
        <x:v>7</x:v>
      </x:c>
      <x:c r="L200" s="12" t="n">
        <x:f>'Weekly Projections'!BC212</x:f>
        <x:v>75</x:v>
      </x:c>
      <x:c r="M200" s="12" t="str">
        <x:f>'Weekly Projections'!BD212</x:f>
        <x:v>↑</x:v>
      </x:c>
    </x:row>
    <x:row r="201">
      <x:c r="A201" s="14" t="n">
        <x:f>'Weekly Projections'!BB213</x:f>
        <x:v>75</x:v>
      </x:c>
      <x:c r="B201" s="12" t="str">
        <x:f>'Weekly Projections'!A213</x:f>
        <x:v>Isaac TeSlaa</x:v>
      </x:c>
      <x:c r="C201" s="12" t="str">
        <x:f>'Weekly Projections'!B213</x:f>
        <x:v>DET</x:v>
      </x:c>
      <x:c r="D201" s="12" t="str">
        <x:f>'Weekly Projections'!C213</x:f>
        <x:v>WR</x:v>
      </x:c>
      <x:c r="E201" s="12" t="str">
        <x:f>'Weekly Projections'!D213</x:f>
        <x:v>NYJ</x:v>
      </x:c>
      <x:c r="F201" s="13" t="n">
        <x:f>'Weekly Projections'!AW213</x:f>
        <x:v>4.085877391304348</x:v>
      </x:c>
      <x:c r="G201" s="13" t="n">
        <x:f>'Weekly Projections'!AX213</x:f>
        <x:v>2.124656243478261</x:v>
      </x:c>
      <x:c r="H201" s="13" t="n">
        <x:f>'Weekly Projections'!AY213</x:f>
        <x:v>6.3331099565217395</x:v>
      </x:c>
      <x:c r="I201" s="12" t="str">
        <x:f>'Weekly Projections'!H213</x:f>
        <x:v>ACTIVE</x:v>
      </x:c>
      <x:c r="J201" s="12" t="str">
        <x:f>'Weekly Projections'!AZ213</x:f>
        <x:v>High</x:v>
      </x:c>
      <x:c r="K201" s="12" t="n">
        <x:f>'Weekly Projections'!BA213</x:f>
        <x:v>7</x:v>
      </x:c>
      <x:c r="L201" s="12" t="n">
        <x:f>'Weekly Projections'!BC213</x:f>
        <x:v>76</x:v>
      </x:c>
      <x:c r="M201" s="12" t="str">
        <x:f>'Weekly Projections'!BD213</x:f>
        <x:v>↑</x:v>
      </x:c>
    </x:row>
    <x:row r="202">
      <x:c r="A202" s="14" t="n">
        <x:f>'Weekly Projections'!BB214</x:f>
        <x:v>76</x:v>
      </x:c>
      <x:c r="B202" s="12" t="str">
        <x:f>'Weekly Projections'!A214</x:f>
        <x:v>Germie Bernard</x:v>
      </x:c>
      <x:c r="C202" s="12" t="str">
        <x:f>'Weekly Projections'!B214</x:f>
        <x:v>PIT</x:v>
      </x:c>
      <x:c r="D202" s="12" t="str">
        <x:f>'Weekly Projections'!C214</x:f>
        <x:v>WR</x:v>
      </x:c>
      <x:c r="E202" s="12" t="str">
        <x:f>'Weekly Projections'!D214</x:f>
        <x:v>CIN</x:v>
      </x:c>
      <x:c r="F202" s="13" t="n">
        <x:f>'Weekly Projections'!AW214</x:f>
        <x:v>3.9686956521739134</x:v>
      </x:c>
      <x:c r="G202" s="13" t="n">
        <x:f>'Weekly Projections'!AX214</x:f>
        <x:v>2.063721739130435</x:v>
      </x:c>
      <x:c r="H202" s="13" t="n">
        <x:f>'Weekly Projections'!AY214</x:f>
        <x:v>6.151478260869566</x:v>
      </x:c>
      <x:c r="I202" s="12" t="str">
        <x:f>'Weekly Projections'!H214</x:f>
        <x:v>ACTIVE</x:v>
      </x:c>
      <x:c r="J202" s="12" t="str">
        <x:f>'Weekly Projections'!AZ214</x:f>
        <x:v>High</x:v>
      </x:c>
      <x:c r="K202" s="12" t="n">
        <x:f>'Weekly Projections'!BA214</x:f>
        <x:v>7</x:v>
      </x:c>
      <x:c r="L202" s="12" t="n">
        <x:f>'Weekly Projections'!BC214</x:f>
        <x:v>77</x:v>
      </x:c>
      <x:c r="M202" s="12" t="str">
        <x:f>'Weekly Projections'!BD214</x:f>
        <x:v>↑</x:v>
      </x:c>
    </x:row>
    <x:row r="203">
      <x:c r="A203" s="14" t="n">
        <x:f>'Weekly Projections'!BB215</x:f>
        <x:v>77</x:v>
      </x:c>
      <x:c r="B203" s="12" t="str">
        <x:f>'Weekly Projections'!A215</x:f>
        <x:v>Malik Washington</x:v>
      </x:c>
      <x:c r="C203" s="12" t="str">
        <x:f>'Weekly Projections'!B215</x:f>
        <x:v>MIA</x:v>
      </x:c>
      <x:c r="D203" s="12" t="str">
        <x:f>'Weekly Projections'!C215</x:f>
        <x:v>WR</x:v>
      </x:c>
      <x:c r="E203" s="12" t="str">
        <x:f>'Weekly Projections'!D215</x:f>
        <x:v>KC</x:v>
      </x:c>
      <x:c r="F203" s="13" t="n">
        <x:f>'Weekly Projections'!AW215</x:f>
        <x:v>3.941973913043478</x:v>
      </x:c>
      <x:c r="G203" s="13" t="n">
        <x:f>'Weekly Projections'!AX215</x:f>
        <x:v>2.0498264347826085</x:v>
      </x:c>
      <x:c r="H203" s="13" t="n">
        <x:f>'Weekly Projections'!AY215</x:f>
        <x:v>6.110059565217391</x:v>
      </x:c>
      <x:c r="I203" s="12" t="str">
        <x:f>'Weekly Projections'!H215</x:f>
        <x:v>ACTIVE</x:v>
      </x:c>
      <x:c r="J203" s="12" t="str">
        <x:f>'Weekly Projections'!AZ215</x:f>
        <x:v>High</x:v>
      </x:c>
      <x:c r="K203" s="12" t="n">
        <x:f>'Weekly Projections'!BA215</x:f>
        <x:v>7</x:v>
      </x:c>
      <x:c r="L203" s="12" t="n">
        <x:f>'Weekly Projections'!BC215</x:f>
        <x:v>78</x:v>
      </x:c>
      <x:c r="M203" s="12" t="str">
        <x:f>'Weekly Projections'!BD215</x:f>
        <x:v>↑</x:v>
      </x:c>
    </x:row>
    <x:row r="204">
      <x:c r="A204" s="14" t="n">
        <x:f>'Weekly Projections'!BB216</x:f>
        <x:v>78</x:v>
      </x:c>
      <x:c r="B204" s="12" t="str">
        <x:f>'Weekly Projections'!A216</x:f>
        <x:v>Tyquan Thornton</x:v>
      </x:c>
      <x:c r="C204" s="12" t="str">
        <x:f>'Weekly Projections'!B216</x:f>
        <x:v>KC</x:v>
      </x:c>
      <x:c r="D204" s="12" t="str">
        <x:f>'Weekly Projections'!C216</x:f>
        <x:v>WR</x:v>
      </x:c>
      <x:c r="E204" s="12" t="str">
        <x:f>'Weekly Projections'!D216</x:f>
        <x:v>MIA</x:v>
      </x:c>
      <x:c r="F204" s="13" t="n">
        <x:f>'Weekly Projections'!AW216</x:f>
        <x:v>3.8763452173913047</x:v>
      </x:c>
      <x:c r="G204" s="13" t="n">
        <x:f>'Weekly Projections'!AX216</x:f>
        <x:v>2.0156995130434785</x:v>
      </x:c>
      <x:c r="H204" s="13" t="n">
        <x:f>'Weekly Projections'!AY216</x:f>
        <x:v>6.008335086956523</x:v>
      </x:c>
      <x:c r="I204" s="12" t="str">
        <x:f>'Weekly Projections'!H216</x:f>
        <x:v>ACTIVE</x:v>
      </x:c>
      <x:c r="J204" s="12" t="str">
        <x:f>'Weekly Projections'!AZ216</x:f>
        <x:v>High</x:v>
      </x:c>
      <x:c r="K204" s="12" t="n">
        <x:f>'Weekly Projections'!BA216</x:f>
        <x:v>7</x:v>
      </x:c>
      <x:c r="L204" s="12" t="n">
        <x:f>'Weekly Projections'!BC216</x:f>
        <x:v>79</x:v>
      </x:c>
      <x:c r="M204" s="12" t="str">
        <x:f>'Weekly Projections'!BD216</x:f>
        <x:v>↑</x:v>
      </x:c>
    </x:row>
    <x:row r="205">
      <x:c r="A205" s="14" t="n">
        <x:f>'Weekly Projections'!BB217</x:f>
        <x:v>79</x:v>
      </x:c>
      <x:c r="B205" s="12" t="str">
        <x:f>'Weekly Projections'!A217</x:f>
        <x:v>Christian Kirk</x:v>
      </x:c>
      <x:c r="C205" s="12" t="str">
        <x:f>'Weekly Projections'!B217</x:f>
        <x:v>SF</x:v>
      </x:c>
      <x:c r="D205" s="12" t="str">
        <x:f>'Weekly Projections'!C217</x:f>
        <x:v>WR</x:v>
      </x:c>
      <x:c r="E205" s="12" t="str">
        <x:f>'Weekly Projections'!D217</x:f>
        <x:v>ARI</x:v>
      </x:c>
      <x:c r="F205" s="13" t="n">
        <x:f>'Weekly Projections'!AW217</x:f>
        <x:v>3.8594782608695652</x:v>
      </x:c>
      <x:c r="G205" s="13" t="n">
        <x:f>'Weekly Projections'!AX217</x:f>
        <x:v>2.006928695652174</x:v>
      </x:c>
      <x:c r="H205" s="13" t="n">
        <x:f>'Weekly Projections'!AY217</x:f>
        <x:v>5.982191304347826</x:v>
      </x:c>
      <x:c r="I205" s="12" t="str">
        <x:f>'Weekly Projections'!H217</x:f>
        <x:v>ACTIVE</x:v>
      </x:c>
      <x:c r="J205" s="12" t="str">
        <x:f>'Weekly Projections'!AZ217</x:f>
        <x:v>High</x:v>
      </x:c>
      <x:c r="K205" s="12" t="n">
        <x:f>'Weekly Projections'!BA217</x:f>
        <x:v>7</x:v>
      </x:c>
      <x:c r="L205" s="12" t="n">
        <x:f>'Weekly Projections'!BC217</x:f>
        <x:v>80</x:v>
      </x:c>
      <x:c r="M205" s="12" t="str">
        <x:f>'Weekly Projections'!BD217</x:f>
        <x:v>↑</x:v>
      </x:c>
    </x:row>
    <x:row r="206">
      <x:c r="A206" s="14" t="n">
        <x:f>'Weekly Projections'!BB157</x:f>
        <x:v>80</x:v>
      </x:c>
      <x:c r="B206" s="12" t="str">
        <x:f>'Weekly Projections'!A157</x:f>
        <x:v>Puka Nacua</x:v>
      </x:c>
      <x:c r="C206" s="12" t="str">
        <x:f>'Weekly Projections'!B157</x:f>
        <x:v>LAR</x:v>
      </x:c>
      <x:c r="D206" s="12" t="str">
        <x:f>'Weekly Projections'!C157</x:f>
        <x:v>WR</x:v>
      </x:c>
      <x:c r="E206" s="12" t="str">
        <x:f>'Weekly Projections'!D157</x:f>
        <x:v>DEN</x:v>
      </x:c>
      <x:c r="F206" s="13" t="n">
        <x:f>'Weekly Projections'!AW157</x:f>
        <x:v>3.8035992608695652</x:v>
      </x:c>
      <x:c r="G206" s="13" t="n">
        <x:f>'Weekly Projections'!AX157</x:f>
        <x:v>1.977871615652174</x:v>
      </x:c>
      <x:c r="H206" s="13" t="n">
        <x:f>'Weekly Projections'!AY157</x:f>
        <x:v>5.895578854347827</x:v>
      </x:c>
      <x:c r="I206" s="12" t="str">
        <x:f>'Weekly Projections'!H157</x:f>
        <x:v>DNP / STATUS PENDING</x:v>
      </x:c>
      <x:c r="J206" s="12" t="str">
        <x:f>'Weekly Projections'!AZ157</x:f>
        <x:v>Low</x:v>
      </x:c>
      <x:c r="K206" s="12" t="n">
        <x:f>'Weekly Projections'!BA157</x:f>
        <x:v>2</x:v>
      </x:c>
      <x:c r="L206" s="12" t="n">
        <x:f>'Weekly Projections'!BC157</x:f>
        <x:v>24</x:v>
      </x:c>
      <x:c r="M206" s="12" t="str">
        <x:f>'Weekly Projections'!BD157</x:f>
        <x:v>↓</x:v>
      </x:c>
    </x:row>
    <x:row r="207">
      <x:c r="A207" s="14" t="n">
        <x:f>'Weekly Projections'!BB218</x:f>
        <x:v>81</x:v>
      </x:c>
      <x:c r="B207" s="12" t="str">
        <x:f>'Weekly Projections'!A218</x:f>
        <x:v>Cooper Kupp</x:v>
      </x:c>
      <x:c r="C207" s="12" t="str">
        <x:f>'Weekly Projections'!B218</x:f>
        <x:v>SEA</x:v>
      </x:c>
      <x:c r="D207" s="12" t="str">
        <x:f>'Weekly Projections'!C218</x:f>
        <x:v>WR</x:v>
      </x:c>
      <x:c r="E207" s="12" t="str">
        <x:f>'Weekly Projections'!D218</x:f>
        <x:v>WAS</x:v>
      </x:c>
      <x:c r="F207" s="13" t="n">
        <x:f>'Weekly Projections'!AW218</x:f>
        <x:v>3.786869565217392</x:v>
      </x:c>
      <x:c r="G207" s="13" t="n">
        <x:f>'Weekly Projections'!AX218</x:f>
        <x:v>1.9691721739130439</x:v>
      </x:c>
      <x:c r="H207" s="13" t="n">
        <x:f>'Weekly Projections'!AY218</x:f>
        <x:v>5.869647826086958</x:v>
      </x:c>
      <x:c r="I207" s="12" t="str">
        <x:f>'Weekly Projections'!H218</x:f>
        <x:v>ACTIVE</x:v>
      </x:c>
      <x:c r="J207" s="12" t="str">
        <x:f>'Weekly Projections'!AZ218</x:f>
        <x:v>High</x:v>
      </x:c>
      <x:c r="K207" s="12" t="n">
        <x:f>'Weekly Projections'!BA218</x:f>
        <x:v>7</x:v>
      </x:c>
      <x:c r="L207" s="12" t="n">
        <x:f>'Weekly Projections'!BC218</x:f>
        <x:v>81</x:v>
      </x:c>
      <x:c r="M207" s="12" t="str">
        <x:f>'Weekly Projections'!BD218</x:f>
        <x:v>→</x:v>
      </x:c>
    </x:row>
    <x:row r="208">
      <x:c r="A208" s="14" t="n">
        <x:f>'Weekly Projections'!BB219</x:f>
        <x:v>82</x:v>
      </x:c>
      <x:c r="B208" s="12" t="str">
        <x:f>'Weekly Projections'!A219</x:f>
        <x:v>Elijah Sarratt</x:v>
      </x:c>
      <x:c r="C208" s="12" t="str">
        <x:f>'Weekly Projections'!B219</x:f>
        <x:v>BAL</x:v>
      </x:c>
      <x:c r="D208" s="12" t="str">
        <x:f>'Weekly Projections'!C219</x:f>
        <x:v>WR</x:v>
      </x:c>
      <x:c r="E208" s="12" t="str">
        <x:f>'Weekly Projections'!D219</x:f>
        <x:v>DAL</x:v>
      </x:c>
      <x:c r="F208" s="13" t="n">
        <x:f>'Weekly Projections'!AW219</x:f>
        <x:v>3.7520000000000002</x:v>
      </x:c>
      <x:c r="G208" s="13" t="n">
        <x:f>'Weekly Projections'!AX219</x:f>
        <x:v>1.95104</x:v>
      </x:c>
      <x:c r="H208" s="13" t="n">
        <x:f>'Weekly Projections'!AY219</x:f>
        <x:v>5.815600000000001</x:v>
      </x:c>
      <x:c r="I208" s="12" t="str">
        <x:f>'Weekly Projections'!H219</x:f>
        <x:v>ACTIVE</x:v>
      </x:c>
      <x:c r="J208" s="12" t="str">
        <x:f>'Weekly Projections'!AZ219</x:f>
        <x:v>High</x:v>
      </x:c>
      <x:c r="K208" s="12" t="n">
        <x:f>'Weekly Projections'!BA219</x:f>
        <x:v>8</x:v>
      </x:c>
      <x:c r="L208" s="12" t="n">
        <x:f>'Weekly Projections'!BC219</x:f>
        <x:v>82</x:v>
      </x:c>
      <x:c r="M208" s="12" t="str">
        <x:f>'Weekly Projections'!BD219</x:f>
        <x:v>→</x:v>
      </x:c>
    </x:row>
    <x:row r="209">
      <x:c r="A209" s="14" t="n">
        <x:f>'Weekly Projections'!BB220</x:f>
        <x:v>83</x:v>
      </x:c>
      <x:c r="B209" s="12" t="str">
        <x:f>'Weekly Projections'!A220</x:f>
        <x:v>Troy Franklin</x:v>
      </x:c>
      <x:c r="C209" s="12" t="str">
        <x:f>'Weekly Projections'!B220</x:f>
        <x:v>DEN</x:v>
      </x:c>
      <x:c r="D209" s="12" t="str">
        <x:f>'Weekly Projections'!C220</x:f>
        <x:v>WR</x:v>
      </x:c>
      <x:c r="E209" s="12" t="str">
        <x:f>'Weekly Projections'!D220</x:f>
        <x:v>LAR</x:v>
      </x:c>
      <x:c r="F209" s="13" t="n">
        <x:f>'Weekly Projections'!AW220</x:f>
        <x:v>3.7405217391304353</x:v>
      </x:c>
      <x:c r="G209" s="13" t="n">
        <x:f>'Weekly Projections'!AX220</x:f>
        <x:v>1.9450713043478265</x:v>
      </x:c>
      <x:c r="H209" s="13" t="n">
        <x:f>'Weekly Projections'!AY220</x:f>
        <x:v>5.797808695652175</x:v>
      </x:c>
      <x:c r="I209" s="12" t="str">
        <x:f>'Weekly Projections'!H220</x:f>
        <x:v>ACTIVE</x:v>
      </x:c>
      <x:c r="J209" s="12" t="str">
        <x:f>'Weekly Projections'!AZ220</x:f>
        <x:v>High</x:v>
      </x:c>
      <x:c r="K209" s="12" t="n">
        <x:f>'Weekly Projections'!BA220</x:f>
        <x:v>8</x:v>
      </x:c>
      <x:c r="L209" s="12" t="n">
        <x:f>'Weekly Projections'!BC220</x:f>
        <x:v>83</x:v>
      </x:c>
      <x:c r="M209" s="12" t="str">
        <x:f>'Weekly Projections'!BD220</x:f>
        <x:v>→</x:v>
      </x:c>
    </x:row>
    <x:row r="210">
      <x:c r="A210" s="14" t="n">
        <x:f>'Weekly Projections'!BB221</x:f>
        <x:v>84</x:v>
      </x:c>
      <x:c r="B210" s="12" t="str">
        <x:f>'Weekly Projections'!A221</x:f>
        <x:v>Travis Hunter</x:v>
      </x:c>
      <x:c r="C210" s="12" t="str">
        <x:f>'Weekly Projections'!B221</x:f>
        <x:v>JAC</x:v>
      </x:c>
      <x:c r="D210" s="12" t="str">
        <x:f>'Weekly Projections'!C221</x:f>
        <x:v>WR</x:v>
      </x:c>
      <x:c r="E210" s="12" t="str">
        <x:f>'Weekly Projections'!D221</x:f>
        <x:v>NE</x:v>
      </x:c>
      <x:c r="F210" s="13" t="n">
        <x:f>'Weekly Projections'!AW221</x:f>
        <x:v>3.67104347826087</x:v>
      </x:c>
      <x:c r="G210" s="13" t="n">
        <x:f>'Weekly Projections'!AX221</x:f>
        <x:v>1.9089426086956525</x:v>
      </x:c>
      <x:c r="H210" s="13" t="n">
        <x:f>'Weekly Projections'!AY221</x:f>
        <x:v>5.690117391304349</x:v>
      </x:c>
      <x:c r="I210" s="12" t="str">
        <x:f>'Weekly Projections'!H221</x:f>
        <x:v>ACTIVE</x:v>
      </x:c>
      <x:c r="J210" s="12" t="str">
        <x:f>'Weekly Projections'!AZ221</x:f>
        <x:v>High</x:v>
      </x:c>
      <x:c r="K210" s="12" t="n">
        <x:f>'Weekly Projections'!BA221</x:f>
        <x:v>8</x:v>
      </x:c>
      <x:c r="L210" s="12" t="n">
        <x:f>'Weekly Projections'!BC221</x:f>
        <x:v>84</x:v>
      </x:c>
      <x:c r="M210" s="12" t="str">
        <x:f>'Weekly Projections'!BD221</x:f>
        <x:v>→</x:v>
      </x:c>
    </x:row>
    <x:row r="211">
      <x:c r="A211" s="14" t="n">
        <x:f>'Weekly Projections'!BB222</x:f>
        <x:v>85</x:v>
      </x:c>
      <x:c r="B211" s="12" t="str">
        <x:f>'Weekly Projections'!A222</x:f>
        <x:v>Jack Bech</x:v>
      </x:c>
      <x:c r="C211" s="12" t="str">
        <x:f>'Weekly Projections'!B222</x:f>
        <x:v>LV</x:v>
      </x:c>
      <x:c r="D211" s="12" t="str">
        <x:f>'Weekly Projections'!C222</x:f>
        <x:v>WR</x:v>
      </x:c>
      <x:c r="E211" s="12" t="str">
        <x:f>'Weekly Projections'!D222</x:f>
        <x:v>NO</x:v>
      </x:c>
      <x:c r="F211" s="13" t="n">
        <x:f>'Weekly Projections'!AW222</x:f>
        <x:v>3.598873043478261</x:v>
      </x:c>
      <x:c r="G211" s="13" t="n">
        <x:f>'Weekly Projections'!AX222</x:f>
        <x:v>1.871413982608696</x:v>
      </x:c>
      <x:c r="H211" s="13" t="n">
        <x:f>'Weekly Projections'!AY222</x:f>
        <x:v>5.578253217391305</x:v>
      </x:c>
      <x:c r="I211" s="12" t="str">
        <x:f>'Weekly Projections'!H222</x:f>
        <x:v>ACTIVE</x:v>
      </x:c>
      <x:c r="J211" s="12" t="str">
        <x:f>'Weekly Projections'!AZ222</x:f>
        <x:v>High</x:v>
      </x:c>
      <x:c r="K211" s="12" t="n">
        <x:f>'Weekly Projections'!BA222</x:f>
        <x:v>8</x:v>
      </x:c>
      <x:c r="L211" s="12" t="n">
        <x:f>'Weekly Projections'!BC222</x:f>
        <x:v>85</x:v>
      </x:c>
      <x:c r="M211" s="12" t="str">
        <x:f>'Weekly Projections'!BD222</x:f>
        <x:v>→</x:v>
      </x:c>
    </x:row>
    <x:row r="212">
      <x:c r="A212" s="14" t="n">
        <x:f>'Weekly Projections'!BB223</x:f>
        <x:v>86</x:v>
      </x:c>
      <x:c r="B212" s="12" t="str">
        <x:f>'Weekly Projections'!A223</x:f>
        <x:v>Kyle Williams</x:v>
      </x:c>
      <x:c r="C212" s="12" t="str">
        <x:f>'Weekly Projections'!B223</x:f>
        <x:v>NE</x:v>
      </x:c>
      <x:c r="D212" s="12" t="str">
        <x:f>'Weekly Projections'!C223</x:f>
        <x:v>WR</x:v>
      </x:c>
      <x:c r="E212" s="12" t="str">
        <x:f>'Weekly Projections'!D223</x:f>
        <x:v>JAX</x:v>
      </x:c>
      <x:c r="F212" s="13" t="n">
        <x:f>'Weekly Projections'!AW223</x:f>
        <x:v>3.598873043478261</x:v>
      </x:c>
      <x:c r="G212" s="13" t="n">
        <x:f>'Weekly Projections'!AX223</x:f>
        <x:v>1.871413982608696</x:v>
      </x:c>
      <x:c r="H212" s="13" t="n">
        <x:f>'Weekly Projections'!AY223</x:f>
        <x:v>5.578253217391305</x:v>
      </x:c>
      <x:c r="I212" s="12" t="str">
        <x:f>'Weekly Projections'!H223</x:f>
        <x:v>ACTIVE</x:v>
      </x:c>
      <x:c r="J212" s="12" t="str">
        <x:f>'Weekly Projections'!AZ223</x:f>
        <x:v>High</x:v>
      </x:c>
      <x:c r="K212" s="12" t="n">
        <x:f>'Weekly Projections'!BA223</x:f>
        <x:v>8</x:v>
      </x:c>
      <x:c r="L212" s="12" t="n">
        <x:f>'Weekly Projections'!BC223</x:f>
        <x:v>86</x:v>
      </x:c>
      <x:c r="M212" s="12" t="str">
        <x:f>'Weekly Projections'!BD223</x:f>
        <x:v>→</x:v>
      </x:c>
    </x:row>
    <x:row r="213">
      <x:c r="A213" s="14" t="n">
        <x:f>'Weekly Projections'!BB225</x:f>
        <x:v>87</x:v>
      </x:c>
      <x:c r="B213" s="12" t="str">
        <x:f>'Weekly Projections'!A225</x:f>
        <x:v>Elic Ayomanor</x:v>
      </x:c>
      <x:c r="C213" s="12" t="str">
        <x:f>'Weekly Projections'!B225</x:f>
        <x:v>TEN</x:v>
      </x:c>
      <x:c r="D213" s="12" t="str">
        <x:f>'Weekly Projections'!C225</x:f>
        <x:v>WR</x:v>
      </x:c>
      <x:c r="E213" s="12" t="str">
        <x:f>'Weekly Projections'!D225</x:f>
        <x:v>NYG</x:v>
      </x:c>
      <x:c r="F213" s="13" t="n">
        <x:f>'Weekly Projections'!AW225</x:f>
        <x:v>3.469321739130435</x:v>
      </x:c>
      <x:c r="G213" s="13" t="n">
        <x:f>'Weekly Projections'!AX225</x:f>
        <x:v>1.8040473043478262</x:v>
      </x:c>
      <x:c r="H213" s="13" t="n">
        <x:f>'Weekly Projections'!AY225</x:f>
        <x:v>5.377448695652174</x:v>
      </x:c>
      <x:c r="I213" s="12" t="str">
        <x:f>'Weekly Projections'!H225</x:f>
        <x:v>ACTIVE</x:v>
      </x:c>
      <x:c r="J213" s="12" t="str">
        <x:f>'Weekly Projections'!AZ225</x:f>
        <x:v>High</x:v>
      </x:c>
      <x:c r="K213" s="12" t="n">
        <x:f>'Weekly Projections'!BA225</x:f>
        <x:v>8</x:v>
      </x:c>
      <x:c r="L213" s="12" t="n">
        <x:f>'Weekly Projections'!BC225</x:f>
        <x:v>88</x:v>
      </x:c>
      <x:c r="M213" s="12" t="str">
        <x:f>'Weekly Projections'!BD225</x:f>
        <x:v>↑</x:v>
      </x:c>
    </x:row>
    <x:row r="214">
      <x:c r="A214" s="14" t="n">
        <x:f>'Weekly Projections'!BB226</x:f>
        <x:v>88</x:v>
      </x:c>
      <x:c r="B214" s="12" t="str">
        <x:f>'Weekly Projections'!A226</x:f>
        <x:v>Omar Cooper Jr.</x:v>
      </x:c>
      <x:c r="C214" s="12" t="str">
        <x:f>'Weekly Projections'!B226</x:f>
        <x:v>NYJ</x:v>
      </x:c>
      <x:c r="D214" s="12" t="str">
        <x:f>'Weekly Projections'!C226</x:f>
        <x:v>WR</x:v>
      </x:c>
      <x:c r="E214" s="12" t="str">
        <x:f>'Weekly Projections'!D226</x:f>
        <x:v>DET</x:v>
      </x:c>
      <x:c r="F214" s="13" t="n">
        <x:f>'Weekly Projections'!AW226</x:f>
        <x:v>3.3227269565217386</x:v>
      </x:c>
      <x:c r="G214" s="13" t="n">
        <x:f>'Weekly Projections'!AX226</x:f>
        <x:v>1.727818017391304</x:v>
      </x:c>
      <x:c r="H214" s="13" t="n">
        <x:f>'Weekly Projections'!AY226</x:f>
        <x:v>5.150226782608695</x:v>
      </x:c>
      <x:c r="I214" s="12" t="str">
        <x:f>'Weekly Projections'!H226</x:f>
        <x:v>QUESTIONABLE</x:v>
      </x:c>
      <x:c r="J214" s="12" t="str">
        <x:f>'Weekly Projections'!AZ226</x:f>
        <x:v>Low</x:v>
      </x:c>
      <x:c r="K214" s="12" t="n">
        <x:f>'Weekly Projections'!BA226</x:f>
        <x:v>8</x:v>
      </x:c>
      <x:c r="L214" s="12" t="n">
        <x:f>'Weekly Projections'!BC226</x:f>
        <x:v>89</x:v>
      </x:c>
      <x:c r="M214" s="12" t="str">
        <x:f>'Weekly Projections'!BD226</x:f>
        <x:v>↑</x:v>
      </x:c>
    </x:row>
    <x:row r="215">
      <x:c r="A215" s="14" t="n">
        <x:f>'Weekly Projections'!BB227</x:f>
        <x:v>89</x:v>
      </x:c>
      <x:c r="B215" s="12" t="str">
        <x:f>'Weekly Projections'!A227</x:f>
        <x:v>Caleb Douglas</x:v>
      </x:c>
      <x:c r="C215" s="12" t="str">
        <x:f>'Weekly Projections'!B227</x:f>
        <x:v>MIA</x:v>
      </x:c>
      <x:c r="D215" s="12" t="str">
        <x:f>'Weekly Projections'!C227</x:f>
        <x:v>WR</x:v>
      </x:c>
      <x:c r="E215" s="12" t="str">
        <x:f>'Weekly Projections'!D227</x:f>
        <x:v>KC</x:v>
      </x:c>
      <x:c r="F215" s="13" t="n">
        <x:f>'Weekly Projections'!AW227</x:f>
        <x:v>3.2849782608695657</x:v>
      </x:c>
      <x:c r="G215" s="13" t="n">
        <x:f>'Weekly Projections'!AX227</x:f>
        <x:v>1.7081886956521741</x:v>
      </x:c>
      <x:c r="H215" s="13" t="n">
        <x:f>'Weekly Projections'!AY227</x:f>
        <x:v>5.091716304347827</x:v>
      </x:c>
      <x:c r="I215" s="12" t="str">
        <x:f>'Weekly Projections'!H227</x:f>
        <x:v>ACTIVE</x:v>
      </x:c>
      <x:c r="J215" s="12" t="str">
        <x:f>'Weekly Projections'!AZ227</x:f>
        <x:v>High</x:v>
      </x:c>
      <x:c r="K215" s="12" t="n">
        <x:f>'Weekly Projections'!BA227</x:f>
        <x:v>8</x:v>
      </x:c>
      <x:c r="L215" s="12" t="n">
        <x:f>'Weekly Projections'!BC227</x:f>
        <x:v>90</x:v>
      </x:c>
      <x:c r="M215" s="12" t="str">
        <x:f>'Weekly Projections'!BD227</x:f>
        <x:v>↑</x:v>
      </x:c>
    </x:row>
    <x:row r="216">
      <x:c r="A216" s="14" t="n">
        <x:f>'Weekly Projections'!BB224</x:f>
        <x:v>90</x:v>
      </x:c>
      <x:c r="B216" s="12" t="str">
        <x:f>'Weekly Projections'!A224</x:f>
        <x:v>Darnell Mooney</x:v>
      </x:c>
      <x:c r="C216" s="12" t="str">
        <x:f>'Weekly Projections'!B224</x:f>
        <x:v>NYG</x:v>
      </x:c>
      <x:c r="D216" s="12" t="str">
        <x:f>'Weekly Projections'!C224</x:f>
        <x:v>WR</x:v>
      </x:c>
      <x:c r="E216" s="12" t="str">
        <x:f>'Weekly Projections'!D224</x:f>
        <x:v>TEN</x:v>
      </x:c>
      <x:c r="F216" s="13" t="n">
        <x:f>'Weekly Projections'!AW224</x:f>
        <x:v>3.197438608695653</x:v>
      </x:c>
      <x:c r="G216" s="13" t="n">
        <x:f>'Weekly Projections'!AX224</x:f>
        <x:v>1.6626680765217396</x:v>
      </x:c>
      <x:c r="H216" s="13" t="n">
        <x:f>'Weekly Projections'!AY224</x:f>
        <x:v>4.956029843478262</x:v>
      </x:c>
      <x:c r="I216" s="12" t="str">
        <x:f>'Weekly Projections'!H224</x:f>
        <x:v>ACTIVE</x:v>
      </x:c>
      <x:c r="J216" s="12" t="str">
        <x:f>'Weekly Projections'!AZ224</x:f>
        <x:v>Moderate</x:v>
      </x:c>
      <x:c r="K216" s="12" t="n">
        <x:f>'Weekly Projections'!BA224</x:f>
        <x:v>8</x:v>
      </x:c>
      <x:c r="L216" s="12" t="n">
        <x:f>'Weekly Projections'!BC224</x:f>
        <x:v>87</x:v>
      </x:c>
      <x:c r="M216" s="12" t="str">
        <x:f>'Weekly Projections'!BD224</x:f>
        <x:v>↓</x:v>
      </x:c>
    </x:row>
    <x:row r="217">
      <x:c r="A217" s="14" t="n">
        <x:f>'Weekly Projections'!BB229</x:f>
        <x:v>91</x:v>
      </x:c>
      <x:c r="B217" s="12" t="str">
        <x:f>'Weekly Projections'!A229</x:f>
        <x:v>Chimere Dike</x:v>
      </x:c>
      <x:c r="C217" s="12" t="str">
        <x:f>'Weekly Projections'!B229</x:f>
        <x:v>TEN</x:v>
      </x:c>
      <x:c r="D217" s="12" t="str">
        <x:f>'Weekly Projections'!C229</x:f>
        <x:v>WR</x:v>
      </x:c>
      <x:c r="E217" s="12" t="str">
        <x:f>'Weekly Projections'!D229</x:f>
        <x:v>NYG</x:v>
      </x:c>
      <x:c r="F217" s="13" t="n">
        <x:f>'Weekly Projections'!AW229</x:f>
        <x:v>3.0728278260869564</x:v>
      </x:c>
      <x:c r="G217" s="13" t="n">
        <x:f>'Weekly Projections'!AX229</x:f>
        <x:v>1.5978704695652173</x:v>
      </x:c>
      <x:c r="H217" s="13" t="n">
        <x:f>'Weekly Projections'!AY229</x:f>
        <x:v>4.7628831304347825</x:v>
      </x:c>
      <x:c r="I217" s="12" t="str">
        <x:f>'Weekly Projections'!H229</x:f>
        <x:v>ACTIVE</x:v>
      </x:c>
      <x:c r="J217" s="12" t="str">
        <x:f>'Weekly Projections'!AZ229</x:f>
        <x:v>High</x:v>
      </x:c>
      <x:c r="K217" s="12" t="n">
        <x:f>'Weekly Projections'!BA229</x:f>
        <x:v>8</x:v>
      </x:c>
      <x:c r="L217" s="12" t="n">
        <x:f>'Weekly Projections'!BC229</x:f>
        <x:v>91</x:v>
      </x:c>
      <x:c r="M217" s="12" t="str">
        <x:f>'Weekly Projections'!BD229</x:f>
        <x:v>→</x:v>
      </x:c>
    </x:row>
    <x:row r="218">
      <x:c r="A218" s="14" t="n">
        <x:f>'Weekly Projections'!BB230</x:f>
        <x:v>92</x:v>
      </x:c>
      <x:c r="B218" s="12" t="str">
        <x:f>'Weekly Projections'!A230</x:f>
        <x:v>DeMario Douglas</x:v>
      </x:c>
      <x:c r="C218" s="12" t="str">
        <x:f>'Weekly Projections'!B230</x:f>
        <x:v>NE</x:v>
      </x:c>
      <x:c r="D218" s="12" t="str">
        <x:f>'Weekly Projections'!C230</x:f>
        <x:v>WR</x:v>
      </x:c>
      <x:c r="E218" s="12" t="str">
        <x:f>'Weekly Projections'!D230</x:f>
        <x:v>JAX</x:v>
      </x:c>
      <x:c r="F218" s="13" t="n">
        <x:f>'Weekly Projections'!AW230</x:f>
        <x:v>2.9990608695652172</x:v>
      </x:c>
      <x:c r="G218" s="13" t="n">
        <x:f>'Weekly Projections'!AX230</x:f>
        <x:v>1.559511652173913</x:v>
      </x:c>
      <x:c r="H218" s="13" t="n">
        <x:f>'Weekly Projections'!AY230</x:f>
        <x:v>4.648544347826086</x:v>
      </x:c>
      <x:c r="I218" s="12" t="str">
        <x:f>'Weekly Projections'!H230</x:f>
        <x:v>ACTIVE</x:v>
      </x:c>
      <x:c r="J218" s="12" t="str">
        <x:f>'Weekly Projections'!AZ230</x:f>
        <x:v>High</x:v>
      </x:c>
      <x:c r="K218" s="12" t="n">
        <x:f>'Weekly Projections'!BA230</x:f>
        <x:v>8</x:v>
      </x:c>
      <x:c r="L218" s="12" t="n">
        <x:f>'Weekly Projections'!BC230</x:f>
        <x:v>92</x:v>
      </x:c>
      <x:c r="M218" s="12" t="str">
        <x:f>'Weekly Projections'!BD230</x:f>
        <x:v>→</x:v>
      </x:c>
    </x:row>
    <x:row r="219">
      <x:c r="A219" s="14" t="n">
        <x:f>'Weekly Projections'!BB231</x:f>
        <x:v>93</x:v>
      </x:c>
      <x:c r="B219" s="12" t="str">
        <x:f>'Weekly Projections'!A231</x:f>
        <x:v>Kevin Coleman Jr.</x:v>
      </x:c>
      <x:c r="C219" s="12" t="str">
        <x:f>'Weekly Projections'!B231</x:f>
        <x:v>MIA</x:v>
      </x:c>
      <x:c r="D219" s="12" t="str">
        <x:f>'Weekly Projections'!C231</x:f>
        <x:v>WR</x:v>
      </x:c>
      <x:c r="E219" s="12" t="str">
        <x:f>'Weekly Projections'!D231</x:f>
        <x:v>KC</x:v>
      </x:c>
      <x:c r="F219" s="13" t="n">
        <x:f>'Weekly Projections'!AW231</x:f>
        <x:v>2.9095521739130437</x:v>
      </x:c>
      <x:c r="G219" s="13" t="n">
        <x:f>'Weekly Projections'!AX231</x:f>
        <x:v>1.5129671304347827</x:v>
      </x:c>
      <x:c r="H219" s="13" t="n">
        <x:f>'Weekly Projections'!AY231</x:f>
        <x:v>4.509805869565218</x:v>
      </x:c>
      <x:c r="I219" s="12" t="str">
        <x:f>'Weekly Projections'!H231</x:f>
        <x:v>ACTIVE</x:v>
      </x:c>
      <x:c r="J219" s="12" t="str">
        <x:f>'Weekly Projections'!AZ231</x:f>
        <x:v>High</x:v>
      </x:c>
      <x:c r="K219" s="12" t="n">
        <x:f>'Weekly Projections'!BA231</x:f>
        <x:v>9</x:v>
      </x:c>
      <x:c r="L219" s="12" t="n">
        <x:f>'Weekly Projections'!BC231</x:f>
        <x:v>93</x:v>
      </x:c>
      <x:c r="M219" s="12" t="str">
        <x:f>'Weekly Projections'!BD231</x:f>
        <x:v>→</x:v>
      </x:c>
    </x:row>
    <x:row r="220">
      <x:c r="A220" s="14" t="n">
        <x:f>'Weekly Projections'!BB233</x:f>
        <x:v>94</x:v>
      </x:c>
      <x:c r="B220" s="12" t="str">
        <x:f>'Weekly Projections'!A233</x:f>
        <x:v>Keon Coleman</x:v>
      </x:c>
      <x:c r="C220" s="12" t="str">
        <x:f>'Weekly Projections'!B233</x:f>
        <x:v>BUF</x:v>
      </x:c>
      <x:c r="D220" s="12" t="str">
        <x:f>'Weekly Projections'!C233</x:f>
        <x:v>WR</x:v>
      </x:c>
      <x:c r="E220" s="12" t="str">
        <x:f>'Weekly Projections'!D233</x:f>
        <x:v>LAC</x:v>
      </x:c>
      <x:c r="F220" s="13" t="n">
        <x:f>'Weekly Projections'!AW233</x:f>
        <x:v>2.842073043478261</x:v>
      </x:c>
      <x:c r="G220" s="13" t="n">
        <x:f>'Weekly Projections'!AX233</x:f>
        <x:v>1.4778779826086959</x:v>
      </x:c>
      <x:c r="H220" s="13" t="n">
        <x:f>'Weekly Projections'!AY233</x:f>
        <x:v>4.405213217391305</x:v>
      </x:c>
      <x:c r="I220" s="12" t="str">
        <x:f>'Weekly Projections'!H233</x:f>
        <x:v>ACTIVE</x:v>
      </x:c>
      <x:c r="J220" s="12" t="str">
        <x:f>'Weekly Projections'!AZ233</x:f>
        <x:v>High</x:v>
      </x:c>
      <x:c r="K220" s="12" t="n">
        <x:f>'Weekly Projections'!BA233</x:f>
        <x:v>9</x:v>
      </x:c>
      <x:c r="L220" s="12" t="n">
        <x:f>'Weekly Projections'!BC233</x:f>
        <x:v>94</x:v>
      </x:c>
      <x:c r="M220" s="12" t="str">
        <x:f>'Weekly Projections'!BD233</x:f>
        <x:v>→</x:v>
      </x:c>
    </x:row>
    <x:row r="221">
      <x:c r="A221" s="14" t="n">
        <x:f>'Weekly Projections'!BB234</x:f>
        <x:v>95</x:v>
      </x:c>
      <x:c r="B221" s="12" t="str">
        <x:f>'Weekly Projections'!A234</x:f>
        <x:v>Skyler Bell</x:v>
      </x:c>
      <x:c r="C221" s="12" t="str">
        <x:f>'Weekly Projections'!B234</x:f>
        <x:v>BUF</x:v>
      </x:c>
      <x:c r="D221" s="12" t="str">
        <x:f>'Weekly Projections'!C234</x:f>
        <x:v>WR</x:v>
      </x:c>
      <x:c r="E221" s="12" t="str">
        <x:f>'Weekly Projections'!D234</x:f>
        <x:v>LAC</x:v>
      </x:c>
      <x:c r="F221" s="13" t="n">
        <x:f>'Weekly Projections'!AW234</x:f>
        <x:v>2.652601507246377</x:v>
      </x:c>
      <x:c r="G221" s="13" t="n">
        <x:f>'Weekly Projections'!AX234</x:f>
        <x:v>1.379352783768116</x:v>
      </x:c>
      <x:c r="H221" s="13" t="n">
        <x:f>'Weekly Projections'!AY234</x:f>
        <x:v>4.1115323362318845</x:v>
      </x:c>
      <x:c r="I221" s="12" t="str">
        <x:f>'Weekly Projections'!H234</x:f>
        <x:v>ACTIVE</x:v>
      </x:c>
      <x:c r="J221" s="12" t="str">
        <x:f>'Weekly Projections'!AZ234</x:f>
        <x:v>Moderate</x:v>
      </x:c>
      <x:c r="K221" s="12" t="n">
        <x:f>'Weekly Projections'!BA234</x:f>
        <x:v>9</x:v>
      </x:c>
      <x:c r="L221" s="12" t="n">
        <x:f>'Weekly Projections'!BC234</x:f>
        <x:v>95</x:v>
      </x:c>
      <x:c r="M221" s="12" t="str">
        <x:f>'Weekly Projections'!BD234</x:f>
        <x:v>→</x:v>
      </x:c>
    </x:row>
    <x:row r="222">
      <x:c r="A222" s="14" t="n">
        <x:f>'Weekly Projections'!BB235</x:f>
        <x:v>96</x:v>
      </x:c>
      <x:c r="B222" s="12" t="str">
        <x:f>'Weekly Projections'!A235</x:f>
        <x:v>Konata Mumpfield</x:v>
      </x:c>
      <x:c r="C222" s="12" t="str">
        <x:f>'Weekly Projections'!B235</x:f>
        <x:v>LAR</x:v>
      </x:c>
      <x:c r="D222" s="12" t="str">
        <x:f>'Weekly Projections'!C235</x:f>
        <x:v>WR</x:v>
      </x:c>
      <x:c r="E222" s="12" t="str">
        <x:f>'Weekly Projections'!D235</x:f>
        <x:v>DEN</x:v>
      </x:c>
      <x:c r="F222" s="13" t="n">
        <x:f>'Weekly Projections'!AW235</x:f>
        <x:v>2.5892765217391314</x:v>
      </x:c>
      <x:c r="G222" s="13" t="n">
        <x:f>'Weekly Projections'!AX235</x:f>
        <x:v>1.3464237913043484</x:v>
      </x:c>
      <x:c r="H222" s="13" t="n">
        <x:f>'Weekly Projections'!AY235</x:f>
        <x:v>4.013378608695653</x:v>
      </x:c>
      <x:c r="I222" s="12" t="str">
        <x:f>'Weekly Projections'!H235</x:f>
        <x:v>ACTIVE</x:v>
      </x:c>
      <x:c r="J222" s="12" t="str">
        <x:f>'Weekly Projections'!AZ235</x:f>
        <x:v>High</x:v>
      </x:c>
      <x:c r="K222" s="12" t="n">
        <x:f>'Weekly Projections'!BA235</x:f>
        <x:v>9</x:v>
      </x:c>
      <x:c r="L222" s="12" t="n">
        <x:f>'Weekly Projections'!BC235</x:f>
        <x:v>96</x:v>
      </x:c>
      <x:c r="M222" s="12" t="str">
        <x:f>'Weekly Projections'!BD235</x:f>
        <x:v>→</x:v>
      </x:c>
    </x:row>
    <x:row r="223">
      <x:c r="A223" s="14" t="n">
        <x:f>'Weekly Projections'!BB236</x:f>
        <x:v>97</x:v>
      </x:c>
      <x:c r="B223" s="12" t="str">
        <x:f>'Weekly Projections'!A236</x:f>
        <x:v>Jahan Dotson</x:v>
      </x:c>
      <x:c r="C223" s="12" t="str">
        <x:f>'Weekly Projections'!B236</x:f>
        <x:v>ATL</x:v>
      </x:c>
      <x:c r="D223" s="12" t="str">
        <x:f>'Weekly Projections'!C236</x:f>
        <x:v>WR</x:v>
      </x:c>
      <x:c r="E223" s="12" t="str">
        <x:f>'Weekly Projections'!D236</x:f>
        <x:v>GB</x:v>
      </x:c>
      <x:c r="F223" s="13" t="n">
        <x:f>'Weekly Projections'!AW236</x:f>
        <x:v>2.460006956521739</x:v>
      </x:c>
      <x:c r="G223" s="13" t="n">
        <x:f>'Weekly Projections'!AX236</x:f>
        <x:v>1.2792036173913044</x:v>
      </x:c>
      <x:c r="H223" s="13" t="n">
        <x:f>'Weekly Projections'!AY236</x:f>
        <x:v>3.813010782608696</x:v>
      </x:c>
      <x:c r="I223" s="12" t="str">
        <x:f>'Weekly Projections'!H236</x:f>
        <x:v>ACTIVE</x:v>
      </x:c>
      <x:c r="J223" s="12" t="str">
        <x:f>'Weekly Projections'!AZ236</x:f>
        <x:v>High</x:v>
      </x:c>
      <x:c r="K223" s="12" t="n">
        <x:f>'Weekly Projections'!BA236</x:f>
        <x:v>9</x:v>
      </x:c>
      <x:c r="L223" s="12" t="n">
        <x:f>'Weekly Projections'!BC236</x:f>
        <x:v>97</x:v>
      </x:c>
      <x:c r="M223" s="12" t="str">
        <x:f>'Weekly Projections'!BD236</x:f>
        <x:v>→</x:v>
      </x:c>
    </x:row>
    <x:row r="224">
      <x:c r="A224" s="14" t="n">
        <x:f>'Weekly Projections'!BB237</x:f>
        <x:v>98</x:v>
      </x:c>
      <x:c r="B224" s="12" t="str">
        <x:f>'Weekly Projections'!A237</x:f>
        <x:v>Marvin Mims Jr.</x:v>
      </x:c>
      <x:c r="C224" s="12" t="str">
        <x:f>'Weekly Projections'!B237</x:f>
        <x:v>DEN</x:v>
      </x:c>
      <x:c r="D224" s="12" t="str">
        <x:f>'Weekly Projections'!C237</x:f>
        <x:v>WR</x:v>
      </x:c>
      <x:c r="E224" s="12" t="str">
        <x:f>'Weekly Projections'!D237</x:f>
        <x:v>LAR</x:v>
      </x:c>
      <x:c r="F224" s="13" t="n">
        <x:f>'Weekly Projections'!AW237</x:f>
        <x:v>2.3624347826086955</x:v>
      </x:c>
      <x:c r="G224" s="13" t="n">
        <x:f>'Weekly Projections'!AX237</x:f>
        <x:v>1.2284660869565218</x:v>
      </x:c>
      <x:c r="H224" s="13" t="n">
        <x:f>'Weekly Projections'!AY237</x:f>
        <x:v>3.6617739130434783</x:v>
      </x:c>
      <x:c r="I224" s="12" t="str">
        <x:f>'Weekly Projections'!H237</x:f>
        <x:v>ACTIVE</x:v>
      </x:c>
      <x:c r="J224" s="12" t="str">
        <x:f>'Weekly Projections'!AZ237</x:f>
        <x:v>High</x:v>
      </x:c>
      <x:c r="K224" s="12" t="n">
        <x:f>'Weekly Projections'!BA237</x:f>
        <x:v>9</x:v>
      </x:c>
      <x:c r="L224" s="12" t="n">
        <x:f>'Weekly Projections'!BC237</x:f>
        <x:v>98</x:v>
      </x:c>
      <x:c r="M224" s="12" t="str">
        <x:f>'Weekly Projections'!BD237</x:f>
        <x:v>→</x:v>
      </x:c>
    </x:row>
    <x:row r="225">
      <x:c r="A225" s="14" t="n">
        <x:f>'Weekly Projections'!BB238</x:f>
        <x:v>99</x:v>
      </x:c>
      <x:c r="B225" s="12" t="str">
        <x:f>'Weekly Projections'!A238</x:f>
        <x:v>Joshua Palmer</x:v>
      </x:c>
      <x:c r="C225" s="12" t="str">
        <x:f>'Weekly Projections'!B238</x:f>
        <x:v>BUF</x:v>
      </x:c>
      <x:c r="D225" s="12" t="str">
        <x:f>'Weekly Projections'!C238</x:f>
        <x:v>WR</x:v>
      </x:c>
      <x:c r="E225" s="12" t="str">
        <x:f>'Weekly Projections'!D238</x:f>
        <x:v>LAC</x:v>
      </x:c>
      <x:c r="F225" s="13" t="n">
        <x:f>'Weekly Projections'!AW238</x:f>
        <x:v>2.3345599999999997</x:v>
      </x:c>
      <x:c r="G225" s="13" t="n">
        <x:f>'Weekly Projections'!AX238</x:f>
        <x:v>1.2139711999999998</x:v>
      </x:c>
      <x:c r="H225" s="13" t="n">
        <x:f>'Weekly Projections'!AY238</x:f>
        <x:v>3.618568</x:v>
      </x:c>
      <x:c r="I225" s="12" t="str">
        <x:f>'Weekly Projections'!H238</x:f>
        <x:v>ACTIVE</x:v>
      </x:c>
      <x:c r="J225" s="12" t="str">
        <x:f>'Weekly Projections'!AZ238</x:f>
        <x:v>High</x:v>
      </x:c>
      <x:c r="K225" s="12" t="n">
        <x:f>'Weekly Projections'!BA238</x:f>
        <x:v>9</x:v>
      </x:c>
      <x:c r="L225" s="12" t="n">
        <x:f>'Weekly Projections'!BC238</x:f>
        <x:v>99</x:v>
      </x:c>
      <x:c r="M225" s="12" t="str">
        <x:f>'Weekly Projections'!BD238</x:f>
        <x:v>→</x:v>
      </x:c>
    </x:row>
    <x:row r="226">
      <x:c r="A226" s="14" t="n">
        <x:f>'Weekly Projections'!BB239</x:f>
        <x:v>100</x:v>
      </x:c>
      <x:c r="B226" s="12" t="str">
        <x:f>'Weekly Projections'!A239</x:f>
        <x:v>Xavier Legette</x:v>
      </x:c>
      <x:c r="C226" s="12" t="str">
        <x:f>'Weekly Projections'!B239</x:f>
        <x:v>CAR</x:v>
      </x:c>
      <x:c r="D226" s="12" t="str">
        <x:f>'Weekly Projections'!C239</x:f>
        <x:v>WR</x:v>
      </x:c>
      <x:c r="E226" s="12" t="str">
        <x:f>'Weekly Projections'!D239</x:f>
        <x:v>CLE</x:v>
      </x:c>
      <x:c r="F226" s="13" t="n">
        <x:f>'Weekly Projections'!AW239</x:f>
        <x:v>2.2704</x:v>
      </x:c>
      <x:c r="G226" s="13" t="n">
        <x:f>'Weekly Projections'!AX239</x:f>
        <x:v>1.180608</x:v>
      </x:c>
      <x:c r="H226" s="13" t="n">
        <x:f>'Weekly Projections'!AY239</x:f>
        <x:v>3.51912</x:v>
      </x:c>
      <x:c r="I226" s="12" t="str">
        <x:f>'Weekly Projections'!H239</x:f>
        <x:v>ACTIVE</x:v>
      </x:c>
      <x:c r="J226" s="12" t="str">
        <x:f>'Weekly Projections'!AZ239</x:f>
        <x:v>High</x:v>
      </x:c>
      <x:c r="K226" s="12" t="n">
        <x:f>'Weekly Projections'!BA239</x:f>
        <x:v>9</x:v>
      </x:c>
      <x:c r="L226" s="12" t="n">
        <x:f>'Weekly Projections'!BC239</x:f>
        <x:v>100</x:v>
      </x:c>
      <x:c r="M226" s="12" t="str">
        <x:f>'Weekly Projections'!BD239</x:f>
        <x:v>→</x:v>
      </x:c>
    </x:row>
    <x:row r="227">
      <x:c r="A227" s="14" t="n">
        <x:f>'Weekly Projections'!BB242</x:f>
        <x:v>1</x:v>
      </x:c>
      <x:c r="B227" s="12" t="str">
        <x:f>'Weekly Projections'!A242</x:f>
        <x:v>Trey McBride</x:v>
      </x:c>
      <x:c r="C227" s="12" t="str">
        <x:f>'Weekly Projections'!B242</x:f>
        <x:v>ARI</x:v>
      </x:c>
      <x:c r="D227" s="12" t="str">
        <x:f>'Weekly Projections'!C242</x:f>
        <x:v>TE</x:v>
      </x:c>
      <x:c r="E227" s="12" t="str">
        <x:f>'Weekly Projections'!D242</x:f>
        <x:v>SF</x:v>
      </x:c>
      <x:c r="F227" s="13" t="n">
        <x:f>'Weekly Projections'!AW242</x:f>
        <x:v>11.351496688741722</x:v>
      </x:c>
      <x:c r="G227" s="13" t="n">
        <x:f>'Weekly Projections'!AX242</x:f>
        <x:v>5.675748344370861</x:v>
      </x:c>
      <x:c r="H227" s="13" t="n">
        <x:f>'Weekly Projections'!AY242</x:f>
        <x:v>18.162394701986756</x:v>
      </x:c>
      <x:c r="I227" s="12" t="str">
        <x:f>'Weekly Projections'!H242</x:f>
        <x:v>ACTIVE</x:v>
      </x:c>
      <x:c r="J227" s="12" t="str">
        <x:f>'Weekly Projections'!AZ242</x:f>
        <x:v>High</x:v>
      </x:c>
      <x:c r="K227" s="12" t="n">
        <x:f>'Weekly Projections'!BA242</x:f>
        <x:v>1</x:v>
      </x:c>
      <x:c r="L227" s="12" t="n">
        <x:f>'Weekly Projections'!BC242</x:f>
        <x:v>1</x:v>
      </x:c>
      <x:c r="M227" s="12" t="str">
        <x:f>'Weekly Projections'!BD242</x:f>
        <x:v>→</x:v>
      </x:c>
    </x:row>
    <x:row r="228">
      <x:c r="A228" s="14" t="n">
        <x:f>'Weekly Projections'!BB243</x:f>
        <x:v>2</x:v>
      </x:c>
      <x:c r="B228" s="12" t="str">
        <x:f>'Weekly Projections'!A243</x:f>
        <x:v>Brock Bowers</x:v>
      </x:c>
      <x:c r="C228" s="12" t="str">
        <x:f>'Weekly Projections'!B243</x:f>
        <x:v>LV</x:v>
      </x:c>
      <x:c r="D228" s="12" t="str">
        <x:f>'Weekly Projections'!C243</x:f>
        <x:v>TE</x:v>
      </x:c>
      <x:c r="E228" s="12" t="str">
        <x:f>'Weekly Projections'!D243</x:f>
        <x:v>NO</x:v>
      </x:c>
      <x:c r="F228" s="13" t="n">
        <x:f>'Weekly Projections'!AW243</x:f>
        <x:v>10.73003514348786</x:v>
      </x:c>
      <x:c r="G228" s="13" t="n">
        <x:f>'Weekly Projections'!AX243</x:f>
        <x:v>5.36501757174393</x:v>
      </x:c>
      <x:c r="H228" s="13" t="n">
        <x:f>'Weekly Projections'!AY243</x:f>
        <x:v>17.16805622958058</x:v>
      </x:c>
      <x:c r="I228" s="12" t="str">
        <x:f>'Weekly Projections'!H243</x:f>
        <x:v>ACTIVE</x:v>
      </x:c>
      <x:c r="J228" s="12" t="str">
        <x:f>'Weekly Projections'!AZ243</x:f>
        <x:v>Moderate</x:v>
      </x:c>
      <x:c r="K228" s="12" t="n">
        <x:f>'Weekly Projections'!BA243</x:f>
        <x:v>1</x:v>
      </x:c>
      <x:c r="L228" s="12" t="n">
        <x:f>'Weekly Projections'!BC243</x:f>
        <x:v>2</x:v>
      </x:c>
      <x:c r="M228" s="12" t="str">
        <x:f>'Weekly Projections'!BD243</x:f>
        <x:v>→</x:v>
      </x:c>
    </x:row>
    <x:row r="229">
      <x:c r="A229" s="14" t="n">
        <x:f>'Weekly Projections'!BB244</x:f>
        <x:v>3</x:v>
      </x:c>
      <x:c r="B229" s="12" t="str">
        <x:f>'Weekly Projections'!A244</x:f>
        <x:v>Mark Andrews</x:v>
      </x:c>
      <x:c r="C229" s="12" t="str">
        <x:f>'Weekly Projections'!B244</x:f>
        <x:v>BAL</x:v>
      </x:c>
      <x:c r="D229" s="12" t="str">
        <x:f>'Weekly Projections'!C244</x:f>
        <x:v>TE</x:v>
      </x:c>
      <x:c r="E229" s="12" t="str">
        <x:f>'Weekly Projections'!D244</x:f>
        <x:v>DAL</x:v>
      </x:c>
      <x:c r="F229" s="13" t="n">
        <x:f>'Weekly Projections'!AW244</x:f>
        <x:v>10.522598781456953</x:v>
      </x:c>
      <x:c r="G229" s="13" t="n">
        <x:f>'Weekly Projections'!AX244</x:f>
        <x:v>5.261299390728476</x:v>
      </x:c>
      <x:c r="H229" s="13" t="n">
        <x:f>'Weekly Projections'!AY244</x:f>
        <x:v>16.836158050331125</x:v>
      </x:c>
      <x:c r="I229" s="12" t="str">
        <x:f>'Weekly Projections'!H244</x:f>
        <x:v>ACTIVE</x:v>
      </x:c>
      <x:c r="J229" s="12" t="str">
        <x:f>'Weekly Projections'!AZ244</x:f>
        <x:v>High</x:v>
      </x:c>
      <x:c r="K229" s="12" t="n">
        <x:f>'Weekly Projections'!BA244</x:f>
        <x:v>1</x:v>
      </x:c>
      <x:c r="L229" s="12" t="n">
        <x:f>'Weekly Projections'!BC244</x:f>
        <x:v>3</x:v>
      </x:c>
      <x:c r="M229" s="12" t="str">
        <x:f>'Weekly Projections'!BD244</x:f>
        <x:v>→</x:v>
      </x:c>
    </x:row>
    <x:row r="230">
      <x:c r="A230" s="14" t="n">
        <x:f>'Weekly Projections'!BB245</x:f>
        <x:v>4</x:v>
      </x:c>
      <x:c r="B230" s="12" t="str">
        <x:f>'Weekly Projections'!A245</x:f>
        <x:v>Sam LaPorta</x:v>
      </x:c>
      <x:c r="C230" s="12" t="str">
        <x:f>'Weekly Projections'!B245</x:f>
        <x:v>DET</x:v>
      </x:c>
      <x:c r="D230" s="12" t="str">
        <x:f>'Weekly Projections'!C245</x:f>
        <x:v>TE</x:v>
      </x:c>
      <x:c r="E230" s="12" t="str">
        <x:f>'Weekly Projections'!D245</x:f>
        <x:v>NYJ</x:v>
      </x:c>
      <x:c r="F230" s="13" t="n">
        <x:f>'Weekly Projections'!AW245</x:f>
        <x:v>10.363162649006622</x:v>
      </x:c>
      <x:c r="G230" s="13" t="n">
        <x:f>'Weekly Projections'!AX245</x:f>
        <x:v>5.181581324503311</x:v>
      </x:c>
      <x:c r="H230" s="13" t="n">
        <x:f>'Weekly Projections'!AY245</x:f>
        <x:v>16.581060238410597</x:v>
      </x:c>
      <x:c r="I230" s="12" t="str">
        <x:f>'Weekly Projections'!H245</x:f>
        <x:v>ACTIVE</x:v>
      </x:c>
      <x:c r="J230" s="12" t="str">
        <x:f>'Weekly Projections'!AZ245</x:f>
        <x:v>High</x:v>
      </x:c>
      <x:c r="K230" s="12" t="n">
        <x:f>'Weekly Projections'!BA245</x:f>
        <x:v>1</x:v>
      </x:c>
      <x:c r="L230" s="12" t="n">
        <x:f>'Weekly Projections'!BC245</x:f>
        <x:v>4</x:v>
      </x:c>
      <x:c r="M230" s="12" t="str">
        <x:f>'Weekly Projections'!BD245</x:f>
        <x:v>→</x:v>
      </x:c>
    </x:row>
    <x:row r="231">
      <x:c r="A231" s="14" t="n">
        <x:f>'Weekly Projections'!BB252</x:f>
        <x:v>5</x:v>
      </x:c>
      <x:c r="B231" s="12" t="str">
        <x:f>'Weekly Projections'!A252</x:f>
        <x:v>Tucker Kraft</x:v>
      </x:c>
      <x:c r="C231" s="12" t="str">
        <x:f>'Weekly Projections'!B252</x:f>
        <x:v>GB</x:v>
      </x:c>
      <x:c r="D231" s="12" t="str">
        <x:f>'Weekly Projections'!C252</x:f>
        <x:v>TE</x:v>
      </x:c>
      <x:c r="E231" s="12" t="str">
        <x:f>'Weekly Projections'!D252</x:f>
        <x:v>ATL</x:v>
      </x:c>
      <x:c r="F231" s="13" t="n">
        <x:f>'Weekly Projections'!AW252</x:f>
        <x:v>9.79</x:v>
      </x:c>
      <x:c r="G231" s="13" t="n">
        <x:f>'Weekly Projections'!AX252</x:f>
        <x:v>4.895</x:v>
      </x:c>
      <x:c r="H231" s="13" t="n">
        <x:f>'Weekly Projections'!AY252</x:f>
        <x:v>15.664</x:v>
      </x:c>
      <x:c r="I231" s="12" t="str">
        <x:f>'Weekly Projections'!H252</x:f>
        <x:v>ACTIVE</x:v>
      </x:c>
      <x:c r="J231" s="12" t="str">
        <x:f>'Weekly Projections'!AZ252</x:f>
        <x:v>Moderate</x:v>
      </x:c>
      <x:c r="K231" s="12" t="n">
        <x:f>'Weekly Projections'!BA252</x:f>
        <x:v>2</x:v>
      </x:c>
      <x:c r="L231" s="12" t="n">
        <x:f>'Weekly Projections'!BC252</x:f>
        <x:v>5</x:v>
      </x:c>
      <x:c r="M231" s="12" t="str">
        <x:f>'Weekly Projections'!BD252</x:f>
        <x:v>→</x:v>
      </x:c>
    </x:row>
    <x:row r="232">
      <x:c r="A232" s="14" t="n">
        <x:f>'Weekly Projections'!BB246</x:f>
        <x:v>6</x:v>
      </x:c>
      <x:c r="B232" s="12" t="str">
        <x:f>'Weekly Projections'!A246</x:f>
        <x:v>Dalton Kincaid</x:v>
      </x:c>
      <x:c r="C232" s="12" t="str">
        <x:f>'Weekly Projections'!B246</x:f>
        <x:v>BUF</x:v>
      </x:c>
      <x:c r="D232" s="12" t="str">
        <x:f>'Weekly Projections'!C246</x:f>
        <x:v>TE</x:v>
      </x:c>
      <x:c r="E232" s="12" t="str">
        <x:f>'Weekly Projections'!D246</x:f>
        <x:v>LAC</x:v>
      </x:c>
      <x:c r="F232" s="13" t="n">
        <x:f>'Weekly Projections'!AW246</x:f>
        <x:v>9.640121854304637</x:v>
      </x:c>
      <x:c r="G232" s="13" t="n">
        <x:f>'Weekly Projections'!AX246</x:f>
        <x:v>4.820060927152318</x:v>
      </x:c>
      <x:c r="H232" s="13" t="n">
        <x:f>'Weekly Projections'!AY246</x:f>
        <x:v>15.42419496688742</x:v>
      </x:c>
      <x:c r="I232" s="12" t="str">
        <x:f>'Weekly Projections'!H246</x:f>
        <x:v>ACTIVE</x:v>
      </x:c>
      <x:c r="J232" s="12" t="str">
        <x:f>'Weekly Projections'!AZ246</x:f>
        <x:v>High</x:v>
      </x:c>
      <x:c r="K232" s="12" t="n">
        <x:f>'Weekly Projections'!BA246</x:f>
        <x:v>1</x:v>
      </x:c>
      <x:c r="L232" s="12" t="n">
        <x:f>'Weekly Projections'!BC246</x:f>
        <x:v>6</x:v>
      </x:c>
      <x:c r="M232" s="12" t="str">
        <x:f>'Weekly Projections'!BD246</x:f>
        <x:v>→</x:v>
      </x:c>
    </x:row>
    <x:row r="233">
      <x:c r="A233" s="14" t="n">
        <x:f>'Weekly Projections'!BB248</x:f>
        <x:v>7</x:v>
      </x:c>
      <x:c r="B233" s="12" t="str">
        <x:f>'Weekly Projections'!A248</x:f>
        <x:v>Harold Fannin Jr.</x:v>
      </x:c>
      <x:c r="C233" s="12" t="str">
        <x:f>'Weekly Projections'!B248</x:f>
        <x:v>CLE</x:v>
      </x:c>
      <x:c r="D233" s="12" t="str">
        <x:f>'Weekly Projections'!C248</x:f>
        <x:v>TE</x:v>
      </x:c>
      <x:c r="E233" s="12" t="str">
        <x:f>'Weekly Projections'!D248</x:f>
        <x:v>CAR</x:v>
      </x:c>
      <x:c r="F233" s="13" t="n">
        <x:f>'Weekly Projections'!AW248</x:f>
        <x:v>9.161518410596026</x:v>
      </x:c>
      <x:c r="G233" s="13" t="n">
        <x:f>'Weekly Projections'!AX248</x:f>
        <x:v>4.580759205298013</x:v>
      </x:c>
      <x:c r="H233" s="13" t="n">
        <x:f>'Weekly Projections'!AY248</x:f>
        <x:v>14.658429456953641</x:v>
      </x:c>
      <x:c r="I233" s="12" t="str">
        <x:f>'Weekly Projections'!H248</x:f>
        <x:v>ACTIVE</x:v>
      </x:c>
      <x:c r="J233" s="12" t="str">
        <x:f>'Weekly Projections'!AZ248</x:f>
        <x:v>High</x:v>
      </x:c>
      <x:c r="K233" s="12" t="n">
        <x:f>'Weekly Projections'!BA248</x:f>
        <x:v>2</x:v>
      </x:c>
      <x:c r="L233" s="12" t="n">
        <x:f>'Weekly Projections'!BC248</x:f>
        <x:v>8</x:v>
      </x:c>
      <x:c r="M233" s="12" t="str">
        <x:f>'Weekly Projections'!BD248</x:f>
        <x:v>↑</x:v>
      </x:c>
    </x:row>
    <x:row r="234">
      <x:c r="A234" s="14" t="n">
        <x:f>'Weekly Projections'!BB249</x:f>
        <x:v>8</x:v>
      </x:c>
      <x:c r="B234" s="12" t="str">
        <x:f>'Weekly Projections'!A249</x:f>
        <x:v>Tyler Warren</x:v>
      </x:c>
      <x:c r="C234" s="12" t="str">
        <x:f>'Weekly Projections'!B249</x:f>
        <x:v>IND</x:v>
      </x:c>
      <x:c r="D234" s="12" t="str">
        <x:f>'Weekly Projections'!C249</x:f>
        <x:v>TE</x:v>
      </x:c>
      <x:c r="E234" s="12" t="str">
        <x:f>'Weekly Projections'!D249</x:f>
        <x:v>HOU</x:v>
      </x:c>
      <x:c r="F234" s="13" t="n">
        <x:f>'Weekly Projections'!AW249</x:f>
        <x:v>9.135099337748345</x:v>
      </x:c>
      <x:c r="G234" s="13" t="n">
        <x:f>'Weekly Projections'!AX249</x:f>
        <x:v>4.567549668874173</x:v>
      </x:c>
      <x:c r="H234" s="13" t="n">
        <x:f>'Weekly Projections'!AY249</x:f>
        <x:v>14.616158940397353</x:v>
      </x:c>
      <x:c r="I234" s="12" t="str">
        <x:f>'Weekly Projections'!H249</x:f>
        <x:v>ACTIVE</x:v>
      </x:c>
      <x:c r="J234" s="12" t="str">
        <x:f>'Weekly Projections'!AZ249</x:f>
        <x:v>High</x:v>
      </x:c>
      <x:c r="K234" s="12" t="n">
        <x:f>'Weekly Projections'!BA249</x:f>
        <x:v>2</x:v>
      </x:c>
      <x:c r="L234" s="12" t="n">
        <x:f>'Weekly Projections'!BC249</x:f>
        <x:v>9</x:v>
      </x:c>
      <x:c r="M234" s="12" t="str">
        <x:f>'Weekly Projections'!BD249</x:f>
        <x:v>↑</x:v>
      </x:c>
    </x:row>
    <x:row r="235">
      <x:c r="A235" s="14" t="n">
        <x:f>'Weekly Projections'!BB253</x:f>
        <x:v>9</x:v>
      </x:c>
      <x:c r="B235" s="12" t="str">
        <x:f>'Weekly Projections'!A253</x:f>
        <x:v>Terrance Ferguson</x:v>
      </x:c>
      <x:c r="C235" s="12" t="str">
        <x:f>'Weekly Projections'!B253</x:f>
        <x:v>LAR</x:v>
      </x:c>
      <x:c r="D235" s="12" t="str">
        <x:f>'Weekly Projections'!C253</x:f>
        <x:v>TE</x:v>
      </x:c>
      <x:c r="E235" s="12" t="str">
        <x:f>'Weekly Projections'!D253</x:f>
        <x:v>DEN</x:v>
      </x:c>
      <x:c r="F235" s="13" t="n">
        <x:f>'Weekly Projections'!AW253</x:f>
        <x:v>9</x:v>
      </x:c>
      <x:c r="G235" s="13" t="n">
        <x:f>'Weekly Projections'!AX253</x:f>
        <x:v>4.5</x:v>
      </x:c>
      <x:c r="H235" s="13" t="n">
        <x:f>'Weekly Projections'!AY253</x:f>
        <x:v>14.4</x:v>
      </x:c>
      <x:c r="I235" s="12" t="str">
        <x:f>'Weekly Projections'!H253</x:f>
        <x:v>ACTIVE</x:v>
      </x:c>
      <x:c r="J235" s="12" t="str">
        <x:f>'Weekly Projections'!AZ253</x:f>
        <x:v>Moderate</x:v>
      </x:c>
      <x:c r="K235" s="12" t="n">
        <x:f>'Weekly Projections'!BA253</x:f>
        <x:v>2</x:v>
      </x:c>
      <x:c r="L235" s="12" t="n">
        <x:f>'Weekly Projections'!BC253</x:f>
        <x:v>12</x:v>
      </x:c>
      <x:c r="M235" s="12" t="str">
        <x:f>'Weekly Projections'!BD253</x:f>
        <x:v>↑</x:v>
      </x:c>
    </x:row>
    <x:row r="236">
      <x:c r="A236" s="14" t="n">
        <x:f>'Weekly Projections'!BB251</x:f>
        <x:v>10</x:v>
      </x:c>
      <x:c r="B236" s="12" t="str">
        <x:f>'Weekly Projections'!A251</x:f>
        <x:v>Travis Kelce</x:v>
      </x:c>
      <x:c r="C236" s="12" t="str">
        <x:f>'Weekly Projections'!B251</x:f>
        <x:v>KC</x:v>
      </x:c>
      <x:c r="D236" s="12" t="str">
        <x:f>'Weekly Projections'!C251</x:f>
        <x:v>TE</x:v>
      </x:c>
      <x:c r="E236" s="12" t="str">
        <x:f>'Weekly Projections'!D251</x:f>
        <x:v>MIA</x:v>
      </x:c>
      <x:c r="F236" s="13" t="n">
        <x:f>'Weekly Projections'!AW251</x:f>
        <x:v>8.583629668874172</x:v>
      </x:c>
      <x:c r="G236" s="13" t="n">
        <x:f>'Weekly Projections'!AX251</x:f>
        <x:v>4.291814834437086</x:v>
      </x:c>
      <x:c r="H236" s="13" t="n">
        <x:f>'Weekly Projections'!AY251</x:f>
        <x:v>13.733807470198677</x:v>
      </x:c>
      <x:c r="I236" s="12" t="str">
        <x:f>'Weekly Projections'!H251</x:f>
        <x:v>ACTIVE</x:v>
      </x:c>
      <x:c r="J236" s="12" t="str">
        <x:f>'Weekly Projections'!AZ251</x:f>
        <x:v>High</x:v>
      </x:c>
      <x:c r="K236" s="12" t="n">
        <x:f>'Weekly Projections'!BA251</x:f>
        <x:v>2</x:v>
      </x:c>
      <x:c r="L236" s="12" t="n">
        <x:f>'Weekly Projections'!BC251</x:f>
        <x:v>11</x:v>
      </x:c>
      <x:c r="M236" s="12" t="str">
        <x:f>'Weekly Projections'!BD251</x:f>
        <x:v>↑</x:v>
      </x:c>
    </x:row>
    <x:row r="237">
      <x:c r="A237" s="14" t="n">
        <x:f>'Weekly Projections'!BB254</x:f>
        <x:v>11</x:v>
      </x:c>
      <x:c r="B237" s="12" t="str">
        <x:f>'Weekly Projections'!A254</x:f>
        <x:v>George Kittle</x:v>
      </x:c>
      <x:c r="C237" s="12" t="str">
        <x:f>'Weekly Projections'!B254</x:f>
        <x:v>SF</x:v>
      </x:c>
      <x:c r="D237" s="12" t="str">
        <x:f>'Weekly Projections'!C254</x:f>
        <x:v>TE</x:v>
      </x:c>
      <x:c r="E237" s="12" t="str">
        <x:f>'Weekly Projections'!D254</x:f>
        <x:v>ARI</x:v>
      </x:c>
      <x:c r="F237" s="13" t="n">
        <x:f>'Weekly Projections'!AW254</x:f>
        <x:v>7.919841059602649</x:v>
      </x:c>
      <x:c r="G237" s="13" t="n">
        <x:f>'Weekly Projections'!AX254</x:f>
        <x:v>3.9599205298013245</x:v>
      </x:c>
      <x:c r="H237" s="13" t="n">
        <x:f>'Weekly Projections'!AY254</x:f>
        <x:v>12.671745695364239</x:v>
      </x:c>
      <x:c r="I237" s="12" t="str">
        <x:f>'Weekly Projections'!H254</x:f>
        <x:v>ACTIVE</x:v>
      </x:c>
      <x:c r="J237" s="12" t="str">
        <x:f>'Weekly Projections'!AZ254</x:f>
        <x:v>High</x:v>
      </x:c>
      <x:c r="K237" s="12" t="n">
        <x:f>'Weekly Projections'!BA254</x:f>
        <x:v>3</x:v>
      </x:c>
      <x:c r="L237" s="12" t="n">
        <x:f>'Weekly Projections'!BC254</x:f>
        <x:v>13</x:v>
      </x:c>
      <x:c r="M237" s="12" t="str">
        <x:f>'Weekly Projections'!BD254</x:f>
        <x:v>↑</x:v>
      </x:c>
    </x:row>
    <x:row r="238">
      <x:c r="A238" s="14" t="n">
        <x:f>'Weekly Projections'!BB255</x:f>
        <x:v>12</x:v>
      </x:c>
      <x:c r="B238" s="12" t="str">
        <x:f>'Weekly Projections'!A255</x:f>
        <x:v>Jake Ferguson</x:v>
      </x:c>
      <x:c r="C238" s="12" t="str">
        <x:f>'Weekly Projections'!B255</x:f>
        <x:v>DAL</x:v>
      </x:c>
      <x:c r="D238" s="12" t="str">
        <x:f>'Weekly Projections'!C255</x:f>
        <x:v>TE</x:v>
      </x:c>
      <x:c r="E238" s="12" t="str">
        <x:f>'Weekly Projections'!D255</x:f>
        <x:v>BAL</x:v>
      </x:c>
      <x:c r="F238" s="13" t="n">
        <x:f>'Weekly Projections'!AW255</x:f>
        <x:v>7.91743046357616</x:v>
      </x:c>
      <x:c r="G238" s="13" t="n">
        <x:f>'Weekly Projections'!AX255</x:f>
        <x:v>3.95871523178808</x:v>
      </x:c>
      <x:c r="H238" s="13" t="n">
        <x:f>'Weekly Projections'!AY255</x:f>
        <x:v>12.667888741721857</x:v>
      </x:c>
      <x:c r="I238" s="12" t="str">
        <x:f>'Weekly Projections'!H255</x:f>
        <x:v>ACTIVE</x:v>
      </x:c>
      <x:c r="J238" s="12" t="str">
        <x:f>'Weekly Projections'!AZ255</x:f>
        <x:v>High</x:v>
      </x:c>
      <x:c r="K238" s="12" t="n">
        <x:f>'Weekly Projections'!BA255</x:f>
        <x:v>3</x:v>
      </x:c>
      <x:c r="L238" s="12" t="n">
        <x:f>'Weekly Projections'!BC255</x:f>
        <x:v>14</x:v>
      </x:c>
      <x:c r="M238" s="12" t="str">
        <x:f>'Weekly Projections'!BD255</x:f>
        <x:v>↑</x:v>
      </x:c>
    </x:row>
    <x:row r="239">
      <x:c r="A239" s="14" t="n">
        <x:f>'Weekly Projections'!BB250</x:f>
        <x:v>13</x:v>
      </x:c>
      <x:c r="B239" s="12" t="str">
        <x:f>'Weekly Projections'!A250</x:f>
        <x:v>Isaiah Likely</x:v>
      </x:c>
      <x:c r="C239" s="12" t="str">
        <x:f>'Weekly Projections'!B250</x:f>
        <x:v>NYG</x:v>
      </x:c>
      <x:c r="D239" s="12" t="str">
        <x:f>'Weekly Projections'!C250</x:f>
        <x:v>TE</x:v>
      </x:c>
      <x:c r="E239" s="12" t="str">
        <x:f>'Weekly Projections'!D250</x:f>
        <x:v>TEN</x:v>
      </x:c>
      <x:c r="F239" s="13" t="n">
        <x:f>'Weekly Projections'!AW250</x:f>
        <x:v>7.79271586754967</x:v>
      </x:c>
      <x:c r="G239" s="13" t="n">
        <x:f>'Weekly Projections'!AX250</x:f>
        <x:v>3.896357933774835</x:v>
      </x:c>
      <x:c r="H239" s="13" t="n">
        <x:f>'Weekly Projections'!AY250</x:f>
        <x:v>12.468345388079472</x:v>
      </x:c>
      <x:c r="I239" s="12" t="str">
        <x:f>'Weekly Projections'!H250</x:f>
        <x:v>ACTIVE</x:v>
      </x:c>
      <x:c r="J239" s="12" t="str">
        <x:f>'Weekly Projections'!AZ250</x:f>
        <x:v>Moderate</x:v>
      </x:c>
      <x:c r="K239" s="12" t="n">
        <x:f>'Weekly Projections'!BA250</x:f>
        <x:v>2</x:v>
      </x:c>
      <x:c r="L239" s="12" t="n">
        <x:f>'Weekly Projections'!BC250</x:f>
        <x:v>10</x:v>
      </x:c>
      <x:c r="M239" s="12" t="str">
        <x:f>'Weekly Projections'!BD250</x:f>
        <x:v>↓</x:v>
      </x:c>
    </x:row>
    <x:row r="240">
      <x:c r="A240" s="14" t="n">
        <x:f>'Weekly Projections'!BB256</x:f>
        <x:v>14</x:v>
      </x:c>
      <x:c r="B240" s="12" t="str">
        <x:f>'Weekly Projections'!A256</x:f>
        <x:v>Juwan Johnson</x:v>
      </x:c>
      <x:c r="C240" s="12" t="str">
        <x:f>'Weekly Projections'!B256</x:f>
        <x:v>NO</x:v>
      </x:c>
      <x:c r="D240" s="12" t="str">
        <x:f>'Weekly Projections'!C256</x:f>
        <x:v>TE</x:v>
      </x:c>
      <x:c r="E240" s="12" t="str">
        <x:f>'Weekly Projections'!D256</x:f>
        <x:v>LV</x:v>
      </x:c>
      <x:c r="F240" s="13" t="n">
        <x:f>'Weekly Projections'!AW256</x:f>
        <x:v>7.6408476821192055</x:v>
      </x:c>
      <x:c r="G240" s="13" t="n">
        <x:f>'Weekly Projections'!AX256</x:f>
        <x:v>3.8204238410596028</x:v>
      </x:c>
      <x:c r="H240" s="13" t="n">
        <x:f>'Weekly Projections'!AY256</x:f>
        <x:v>12.22535629139073</x:v>
      </x:c>
      <x:c r="I240" s="12" t="str">
        <x:f>'Weekly Projections'!H256</x:f>
        <x:v>ACTIVE</x:v>
      </x:c>
      <x:c r="J240" s="12" t="str">
        <x:f>'Weekly Projections'!AZ256</x:f>
        <x:v>High</x:v>
      </x:c>
      <x:c r="K240" s="12" t="n">
        <x:f>'Weekly Projections'!BA256</x:f>
        <x:v>3</x:v>
      </x:c>
      <x:c r="L240" s="12" t="n">
        <x:f>'Weekly Projections'!BC256</x:f>
        <x:v>15</x:v>
      </x:c>
      <x:c r="M240" s="12" t="str">
        <x:f>'Weekly Projections'!BD256</x:f>
        <x:v>↑</x:v>
      </x:c>
    </x:row>
    <x:row r="241">
      <x:c r="A241" s="14" t="n">
        <x:f>'Weekly Projections'!BB247</x:f>
        <x:v>15</x:v>
      </x:c>
      <x:c r="B241" s="12" t="str">
        <x:f>'Weekly Projections'!A247</x:f>
        <x:v>Colston Loveland</x:v>
      </x:c>
      <x:c r="C241" s="12" t="str">
        <x:f>'Weekly Projections'!B247</x:f>
        <x:v>CHI</x:v>
      </x:c>
      <x:c r="D241" s="12" t="str">
        <x:f>'Weekly Projections'!C247</x:f>
        <x:v>TE</x:v>
      </x:c>
      <x:c r="E241" s="12" t="str">
        <x:f>'Weekly Projections'!D247</x:f>
        <x:v>PHI</x:v>
      </x:c>
      <x:c r="F241" s="13" t="n">
        <x:f>'Weekly Projections'!AW247</x:f>
        <x:v>7.640000000000001</x:v>
      </x:c>
      <x:c r="G241" s="13" t="n">
        <x:f>'Weekly Projections'!AX247</x:f>
        <x:v>3.8200000000000003</x:v>
      </x:c>
      <x:c r="H241" s="13" t="n">
        <x:f>'Weekly Projections'!AY247</x:f>
        <x:v>12.224000000000002</x:v>
      </x:c>
      <x:c r="I241" s="12" t="str">
        <x:f>'Weekly Projections'!H247</x:f>
        <x:v>ACTIVE</x:v>
      </x:c>
      <x:c r="J241" s="12" t="str">
        <x:f>'Weekly Projections'!AZ247</x:f>
        <x:v>Moderate</x:v>
      </x:c>
      <x:c r="K241" s="12" t="n">
        <x:f>'Weekly Projections'!BA247</x:f>
        <x:v>1</x:v>
      </x:c>
      <x:c r="L241" s="12" t="n">
        <x:f>'Weekly Projections'!BC247</x:f>
        <x:v>7</x:v>
      </x:c>
      <x:c r="M241" s="12" t="str">
        <x:f>'Weekly Projections'!BD247</x:f>
        <x:v>↓</x:v>
      </x:c>
    </x:row>
    <x:row r="242">
      <x:c r="A242" s="14" t="n">
        <x:f>'Weekly Projections'!BB257</x:f>
        <x:v>16</x:v>
      </x:c>
      <x:c r="B242" s="12" t="str">
        <x:f>'Weekly Projections'!A257</x:f>
        <x:v>Brenton Strange</x:v>
      </x:c>
      <x:c r="C242" s="12" t="str">
        <x:f>'Weekly Projections'!B257</x:f>
        <x:v>JAC</x:v>
      </x:c>
      <x:c r="D242" s="12" t="str">
        <x:f>'Weekly Projections'!C257</x:f>
        <x:v>TE</x:v>
      </x:c>
      <x:c r="E242" s="12" t="str">
        <x:f>'Weekly Projections'!D257</x:f>
        <x:v>NE</x:v>
      </x:c>
      <x:c r="F242" s="13" t="n">
        <x:f>'Weekly Projections'!AW257</x:f>
        <x:v>7.442384105960265</x:v>
      </x:c>
      <x:c r="G242" s="13" t="n">
        <x:f>'Weekly Projections'!AX257</x:f>
        <x:v>3.7211920529801326</x:v>
      </x:c>
      <x:c r="H242" s="13" t="n">
        <x:f>'Weekly Projections'!AY257</x:f>
        <x:v>11.907814569536425</x:v>
      </x:c>
      <x:c r="I242" s="12" t="str">
        <x:f>'Weekly Projections'!H257</x:f>
        <x:v>ACTIVE</x:v>
      </x:c>
      <x:c r="J242" s="12" t="str">
        <x:f>'Weekly Projections'!AZ257</x:f>
        <x:v>High</x:v>
      </x:c>
      <x:c r="K242" s="12" t="n">
        <x:f>'Weekly Projections'!BA257</x:f>
        <x:v>3</x:v>
      </x:c>
      <x:c r="L242" s="12" t="n">
        <x:f>'Weekly Projections'!BC257</x:f>
        <x:v>16</x:v>
      </x:c>
      <x:c r="M242" s="12" t="str">
        <x:f>'Weekly Projections'!BD257</x:f>
        <x:v>→</x:v>
      </x:c>
    </x:row>
    <x:row r="243">
      <x:c r="A243" s="14" t="n">
        <x:f>'Weekly Projections'!BB258</x:f>
        <x:v>17</x:v>
      </x:c>
      <x:c r="B243" s="12" t="str">
        <x:f>'Weekly Projections'!A258</x:f>
        <x:v>Hunter Henry</x:v>
      </x:c>
      <x:c r="C243" s="12" t="str">
        <x:f>'Weekly Projections'!B258</x:f>
        <x:v>NE</x:v>
      </x:c>
      <x:c r="D243" s="12" t="str">
        <x:f>'Weekly Projections'!C258</x:f>
        <x:v>TE</x:v>
      </x:c>
      <x:c r="E243" s="12" t="str">
        <x:f>'Weekly Projections'!D258</x:f>
        <x:v>JAX</x:v>
      </x:c>
      <x:c r="F243" s="13" t="n">
        <x:f>'Weekly Projections'!AW258</x:f>
        <x:v>7.397726092715233</x:v>
      </x:c>
      <x:c r="G243" s="13" t="n">
        <x:f>'Weekly Projections'!AX258</x:f>
        <x:v>3.6988630463576166</x:v>
      </x:c>
      <x:c r="H243" s="13" t="n">
        <x:f>'Weekly Projections'!AY258</x:f>
        <x:v>11.836361748344373</x:v>
      </x:c>
      <x:c r="I243" s="12" t="str">
        <x:f>'Weekly Projections'!H258</x:f>
        <x:v>ACTIVE</x:v>
      </x:c>
      <x:c r="J243" s="12" t="str">
        <x:f>'Weekly Projections'!AZ258</x:f>
        <x:v>High</x:v>
      </x:c>
      <x:c r="K243" s="12" t="n">
        <x:f>'Weekly Projections'!BA258</x:f>
        <x:v>3</x:v>
      </x:c>
      <x:c r="L243" s="12" t="n">
        <x:f>'Weekly Projections'!BC258</x:f>
        <x:v>17</x:v>
      </x:c>
      <x:c r="M243" s="12" t="str">
        <x:f>'Weekly Projections'!BD258</x:f>
        <x:v>→</x:v>
      </x:c>
    </x:row>
    <x:row r="244">
      <x:c r="A244" s="14" t="n">
        <x:f>'Weekly Projections'!BB259</x:f>
        <x:v>18</x:v>
      </x:c>
      <x:c r="B244" s="12" t="str">
        <x:f>'Weekly Projections'!A259</x:f>
        <x:v>Dalton Schultz</x:v>
      </x:c>
      <x:c r="C244" s="12" t="str">
        <x:f>'Weekly Projections'!B259</x:f>
        <x:v>HOU</x:v>
      </x:c>
      <x:c r="D244" s="12" t="str">
        <x:f>'Weekly Projections'!C259</x:f>
        <x:v>TE</x:v>
      </x:c>
      <x:c r="E244" s="12" t="str">
        <x:f>'Weekly Projections'!D259</x:f>
        <x:v>IND</x:v>
      </x:c>
      <x:c r="F244" s="13" t="n">
        <x:f>'Weekly Projections'!AW259</x:f>
        <x:v>7.146541774834439</x:v>
      </x:c>
      <x:c r="G244" s="13" t="n">
        <x:f>'Weekly Projections'!AX259</x:f>
        <x:v>3.5732708874172197</x:v>
      </x:c>
      <x:c r="H244" s="13" t="n">
        <x:f>'Weekly Projections'!AY259</x:f>
        <x:v>11.434466839735103</x:v>
      </x:c>
      <x:c r="I244" s="12" t="str">
        <x:f>'Weekly Projections'!H259</x:f>
        <x:v>ACTIVE</x:v>
      </x:c>
      <x:c r="J244" s="12" t="str">
        <x:f>'Weekly Projections'!AZ259</x:f>
        <x:v>High</x:v>
      </x:c>
      <x:c r="K244" s="12" t="n">
        <x:f>'Weekly Projections'!BA259</x:f>
        <x:v>3</x:v>
      </x:c>
      <x:c r="L244" s="12" t="n">
        <x:f>'Weekly Projections'!BC259</x:f>
        <x:v>18</x:v>
      </x:c>
      <x:c r="M244" s="12" t="str">
        <x:f>'Weekly Projections'!BD259</x:f>
        <x:v>→</x:v>
      </x:c>
    </x:row>
    <x:row r="245">
      <x:c r="A245" s="14" t="n">
        <x:f>'Weekly Projections'!BB260</x:f>
        <x:v>19</x:v>
      </x:c>
      <x:c r="B245" s="12" t="str">
        <x:f>'Weekly Projections'!A260</x:f>
        <x:v>AJ Barner</x:v>
      </x:c>
      <x:c r="C245" s="12" t="str">
        <x:f>'Weekly Projections'!B260</x:f>
        <x:v>SEA</x:v>
      </x:c>
      <x:c r="D245" s="12" t="str">
        <x:f>'Weekly Projections'!C260</x:f>
        <x:v>TE</x:v>
      </x:c>
      <x:c r="E245" s="12" t="str">
        <x:f>'Weekly Projections'!D260</x:f>
        <x:v>WAS</x:v>
      </x:c>
      <x:c r="F245" s="13" t="n">
        <x:f>'Weekly Projections'!AW260</x:f>
        <x:v>6.547496688741724</x:v>
      </x:c>
      <x:c r="G245" s="13" t="n">
        <x:f>'Weekly Projections'!AX260</x:f>
        <x:v>3.273748344370862</x:v>
      </x:c>
      <x:c r="H245" s="13" t="n">
        <x:f>'Weekly Projections'!AY260</x:f>
        <x:v>10.475994701986759</x:v>
      </x:c>
      <x:c r="I245" s="12" t="str">
        <x:f>'Weekly Projections'!H260</x:f>
        <x:v>ACTIVE</x:v>
      </x:c>
      <x:c r="J245" s="12" t="str">
        <x:f>'Weekly Projections'!AZ260</x:f>
        <x:v>High</x:v>
      </x:c>
      <x:c r="K245" s="12" t="n">
        <x:f>'Weekly Projections'!BA260</x:f>
        <x:v>4</x:v>
      </x:c>
      <x:c r="L245" s="12" t="n">
        <x:f>'Weekly Projections'!BC260</x:f>
        <x:v>19</x:v>
      </x:c>
      <x:c r="M245" s="12" t="str">
        <x:f>'Weekly Projections'!BD260</x:f>
        <x:v>→</x:v>
      </x:c>
    </x:row>
    <x:row r="246">
      <x:c r="A246" s="14" t="n">
        <x:f>'Weekly Projections'!BB261</x:f>
        <x:v>20</x:v>
      </x:c>
      <x:c r="B246" s="12" t="str">
        <x:f>'Weekly Projections'!A261</x:f>
        <x:v>Kyle Pitts Sr.</x:v>
      </x:c>
      <x:c r="C246" s="12" t="str">
        <x:f>'Weekly Projections'!B261</x:f>
        <x:v>ATL</x:v>
      </x:c>
      <x:c r="D246" s="12" t="str">
        <x:f>'Weekly Projections'!C261</x:f>
        <x:v>TE</x:v>
      </x:c>
      <x:c r="E246" s="12" t="str">
        <x:f>'Weekly Projections'!D261</x:f>
        <x:v>GB</x:v>
      </x:c>
      <x:c r="F246" s="13" t="n">
        <x:f>'Weekly Projections'!AW261</x:f>
        <x:v>6.061740927152319</x:v>
      </x:c>
      <x:c r="G246" s="13" t="n">
        <x:f>'Weekly Projections'!AX261</x:f>
        <x:v>3.0308704635761594</x:v>
      </x:c>
      <x:c r="H246" s="13" t="n">
        <x:f>'Weekly Projections'!AY261</x:f>
        <x:v>9.69878548344371</x:v>
      </x:c>
      <x:c r="I246" s="12" t="str">
        <x:f>'Weekly Projections'!H261</x:f>
        <x:v>ACTIVE</x:v>
      </x:c>
      <x:c r="J246" s="12" t="str">
        <x:f>'Weekly Projections'!AZ261</x:f>
        <x:v>High</x:v>
      </x:c>
      <x:c r="K246" s="12" t="n">
        <x:f>'Weekly Projections'!BA261</x:f>
        <x:v>4</x:v>
      </x:c>
      <x:c r="L246" s="12" t="n">
        <x:f>'Weekly Projections'!BC261</x:f>
        <x:v>20</x:v>
      </x:c>
      <x:c r="M246" s="12" t="str">
        <x:f>'Weekly Projections'!BD261</x:f>
        <x:v>→</x:v>
      </x:c>
    </x:row>
    <x:row r="247">
      <x:c r="A247" s="14" t="n">
        <x:f>'Weekly Projections'!BB262</x:f>
        <x:v>21</x:v>
      </x:c>
      <x:c r="B247" s="12" t="str">
        <x:f>'Weekly Projections'!A262</x:f>
        <x:v>Cade Otton</x:v>
      </x:c>
      <x:c r="C247" s="12" t="str">
        <x:f>'Weekly Projections'!B262</x:f>
        <x:v>TB</x:v>
      </x:c>
      <x:c r="D247" s="12" t="str">
        <x:f>'Weekly Projections'!C262</x:f>
        <x:v>TE</x:v>
      </x:c>
      <x:c r="E247" s="12" t="str">
        <x:f>'Weekly Projections'!D262</x:f>
        <x:v>MIN</x:v>
      </x:c>
      <x:c r="F247" s="13" t="n">
        <x:f>'Weekly Projections'!AW262</x:f>
        <x:v>5.952985430463577</x:v>
      </x:c>
      <x:c r="G247" s="13" t="n">
        <x:f>'Weekly Projections'!AX262</x:f>
        <x:v>2.9764927152317884</x:v>
      </x:c>
      <x:c r="H247" s="13" t="n">
        <x:f>'Weekly Projections'!AY262</x:f>
        <x:v>9.524776688741722</x:v>
      </x:c>
      <x:c r="I247" s="12" t="str">
        <x:f>'Weekly Projections'!H262</x:f>
        <x:v>ACTIVE</x:v>
      </x:c>
      <x:c r="J247" s="12" t="str">
        <x:f>'Weekly Projections'!AZ262</x:f>
        <x:v>High</x:v>
      </x:c>
      <x:c r="K247" s="12" t="n">
        <x:f>'Weekly Projections'!BA262</x:f>
        <x:v>4</x:v>
      </x:c>
      <x:c r="L247" s="12" t="n">
        <x:f>'Weekly Projections'!BC262</x:f>
        <x:v>21</x:v>
      </x:c>
      <x:c r="M247" s="12" t="str">
        <x:f>'Weekly Projections'!BD262</x:f>
        <x:v>→</x:v>
      </x:c>
    </x:row>
    <x:row r="248">
      <x:c r="A248" s="14" t="n">
        <x:f>'Weekly Projections'!BB263</x:f>
        <x:v>22</x:v>
      </x:c>
      <x:c r="B248" s="12" t="str">
        <x:f>'Weekly Projections'!A263</x:f>
        <x:v>T.J. Hockenson</x:v>
      </x:c>
      <x:c r="C248" s="12" t="str">
        <x:f>'Weekly Projections'!B263</x:f>
        <x:v>MIN</x:v>
      </x:c>
      <x:c r="D248" s="12" t="str">
        <x:f>'Weekly Projections'!C263</x:f>
        <x:v>TE</x:v>
      </x:c>
      <x:c r="E248" s="12" t="str">
        <x:f>'Weekly Projections'!D263</x:f>
        <x:v>TB</x:v>
      </x:c>
      <x:c r="F248" s="13" t="n">
        <x:f>'Weekly Projections'!AW263</x:f>
        <x:v>5.799554437086093</x:v>
      </x:c>
      <x:c r="G248" s="13" t="n">
        <x:f>'Weekly Projections'!AX263</x:f>
        <x:v>2.8997772185430466</x:v>
      </x:c>
      <x:c r="H248" s="13" t="n">
        <x:f>'Weekly Projections'!AY263</x:f>
        <x:v>9.279287099337749</x:v>
      </x:c>
      <x:c r="I248" s="12" t="str">
        <x:f>'Weekly Projections'!H263</x:f>
        <x:v>ACTIVE</x:v>
      </x:c>
      <x:c r="J248" s="12" t="str">
        <x:f>'Weekly Projections'!AZ263</x:f>
        <x:v>High</x:v>
      </x:c>
      <x:c r="K248" s="12" t="n">
        <x:f>'Weekly Projections'!BA263</x:f>
        <x:v>4</x:v>
      </x:c>
      <x:c r="L248" s="12" t="n">
        <x:f>'Weekly Projections'!BC263</x:f>
        <x:v>22</x:v>
      </x:c>
      <x:c r="M248" s="12" t="str">
        <x:f>'Weekly Projections'!BD263</x:f>
        <x:v>→</x:v>
      </x:c>
    </x:row>
    <x:row r="249">
      <x:c r="A249" s="14" t="n">
        <x:f>'Weekly Projections'!BB264</x:f>
        <x:v>23</x:v>
      </x:c>
      <x:c r="B249" s="12" t="str">
        <x:f>'Weekly Projections'!A264</x:f>
        <x:v>Pat Freiermuth</x:v>
      </x:c>
      <x:c r="C249" s="12" t="str">
        <x:f>'Weekly Projections'!B264</x:f>
        <x:v>PIT</x:v>
      </x:c>
      <x:c r="D249" s="12" t="str">
        <x:f>'Weekly Projections'!C264</x:f>
        <x:v>TE</x:v>
      </x:c>
      <x:c r="E249" s="12" t="str">
        <x:f>'Weekly Projections'!D264</x:f>
        <x:v>CIN</x:v>
      </x:c>
      <x:c r="F249" s="13" t="n">
        <x:f>'Weekly Projections'!AW264</x:f>
        <x:v>5.755443708609272</x:v>
      </x:c>
      <x:c r="G249" s="13" t="n">
        <x:f>'Weekly Projections'!AX264</x:f>
        <x:v>2.877721854304636</x:v>
      </x:c>
      <x:c r="H249" s="13" t="n">
        <x:f>'Weekly Projections'!AY264</x:f>
        <x:v>9.208709933774836</x:v>
      </x:c>
      <x:c r="I249" s="12" t="str">
        <x:f>'Weekly Projections'!H264</x:f>
        <x:v>ACTIVE</x:v>
      </x:c>
      <x:c r="J249" s="12" t="str">
        <x:f>'Weekly Projections'!AZ264</x:f>
        <x:v>High</x:v>
      </x:c>
      <x:c r="K249" s="12" t="n">
        <x:f>'Weekly Projections'!BA264</x:f>
        <x:v>4</x:v>
      </x:c>
      <x:c r="L249" s="12" t="n">
        <x:f>'Weekly Projections'!BC264</x:f>
        <x:v>23</x:v>
      </x:c>
      <x:c r="M249" s="12" t="str">
        <x:f>'Weekly Projections'!BD264</x:f>
        <x:v>→</x:v>
      </x:c>
    </x:row>
    <x:row r="250">
      <x:c r="A250" s="14" t="n">
        <x:f>'Weekly Projections'!BB265</x:f>
        <x:v>24</x:v>
      </x:c>
      <x:c r="B250" s="12" t="str">
        <x:f>'Weekly Projections'!A265</x:f>
        <x:v>Kenyon Sadiq</x:v>
      </x:c>
      <x:c r="C250" s="12" t="str">
        <x:f>'Weekly Projections'!B265</x:f>
        <x:v>NYJ</x:v>
      </x:c>
      <x:c r="D250" s="12" t="str">
        <x:f>'Weekly Projections'!C265</x:f>
        <x:v>TE</x:v>
      </x:c>
      <x:c r="E250" s="12" t="str">
        <x:f>'Weekly Projections'!D265</x:f>
        <x:v>DET</x:v>
      </x:c>
      <x:c r="F250" s="13" t="n">
        <x:f>'Weekly Projections'!AW265</x:f>
        <x:v>5.738533509933775</x:v>
      </x:c>
      <x:c r="G250" s="13" t="n">
        <x:f>'Weekly Projections'!AX265</x:f>
        <x:v>2.8692667549668873</x:v>
      </x:c>
      <x:c r="H250" s="13" t="n">
        <x:f>'Weekly Projections'!AY265</x:f>
        <x:v>9.18165361589404</x:v>
      </x:c>
      <x:c r="I250" s="12" t="str">
        <x:f>'Weekly Projections'!H265</x:f>
        <x:v>ACTIVE</x:v>
      </x:c>
      <x:c r="J250" s="12" t="str">
        <x:f>'Weekly Projections'!AZ265</x:f>
        <x:v>High</x:v>
      </x:c>
      <x:c r="K250" s="12" t="n">
        <x:f>'Weekly Projections'!BA265</x:f>
        <x:v>4</x:v>
      </x:c>
      <x:c r="L250" s="12" t="n">
        <x:f>'Weekly Projections'!BC265</x:f>
        <x:v>24</x:v>
      </x:c>
      <x:c r="M250" s="12" t="str">
        <x:f>'Weekly Projections'!BD265</x:f>
        <x:v>→</x:v>
      </x:c>
    </x:row>
    <x:row r="251">
      <x:c r="A251" s="14" t="n">
        <x:f>'Weekly Projections'!BB266</x:f>
        <x:v>25</x:v>
      </x:c>
      <x:c r="B251" s="12" t="str">
        <x:f>'Weekly Projections'!A266</x:f>
        <x:v>Michael Mayer</x:v>
      </x:c>
      <x:c r="C251" s="12" t="str">
        <x:f>'Weekly Projections'!B266</x:f>
        <x:v>LV</x:v>
      </x:c>
      <x:c r="D251" s="12" t="str">
        <x:f>'Weekly Projections'!C266</x:f>
        <x:v>TE</x:v>
      </x:c>
      <x:c r="E251" s="12" t="str">
        <x:f>'Weekly Projections'!D266</x:f>
        <x:v>NO</x:v>
      </x:c>
      <x:c r="F251" s="13" t="n">
        <x:f>'Weekly Projections'!AW266</x:f>
        <x:v>5.1984021192053</x:v>
      </x:c>
      <x:c r="G251" s="13" t="n">
        <x:f>'Weekly Projections'!AX266</x:f>
        <x:v>2.59920105960265</x:v>
      </x:c>
      <x:c r="H251" s="13" t="n">
        <x:f>'Weekly Projections'!AY266</x:f>
        <x:v>8.31744339072848</x:v>
      </x:c>
      <x:c r="I251" s="12" t="str">
        <x:f>'Weekly Projections'!H266</x:f>
        <x:v>ACTIVE</x:v>
      </x:c>
      <x:c r="J251" s="12" t="str">
        <x:f>'Weekly Projections'!AZ266</x:f>
        <x:v>High</x:v>
      </x:c>
      <x:c r="K251" s="12" t="n">
        <x:f>'Weekly Projections'!BA266</x:f>
        <x:v>5</x:v>
      </x:c>
      <x:c r="L251" s="12" t="n">
        <x:f>'Weekly Projections'!BC266</x:f>
        <x:v>25</x:v>
      </x:c>
      <x:c r="M251" s="12" t="str">
        <x:f>'Weekly Projections'!BD266</x:f>
        <x:v>→</x:v>
      </x:c>
    </x:row>
    <x:row r="252">
      <x:c r="A252" s="14" t="n">
        <x:f>'Weekly Projections'!BB267</x:f>
        <x:v>26</x:v>
      </x:c>
      <x:c r="B252" s="12" t="str">
        <x:f>'Weekly Projections'!A267</x:f>
        <x:v>Gunnar Helm</x:v>
      </x:c>
      <x:c r="C252" s="12" t="str">
        <x:f>'Weekly Projections'!B267</x:f>
        <x:v>TEN</x:v>
      </x:c>
      <x:c r="D252" s="12" t="str">
        <x:f>'Weekly Projections'!C267</x:f>
        <x:v>TE</x:v>
      </x:c>
      <x:c r="E252" s="12" t="str">
        <x:f>'Weekly Projections'!D267</x:f>
        <x:v>NYG</x:v>
      </x:c>
      <x:c r="F252" s="13" t="n">
        <x:f>'Weekly Projections'!AW267</x:f>
        <x:v>5.155259337748346</x:v>
      </x:c>
      <x:c r="G252" s="13" t="n">
        <x:f>'Weekly Projections'!AX267</x:f>
        <x:v>2.577629668874173</x:v>
      </x:c>
      <x:c r="H252" s="13" t="n">
        <x:f>'Weekly Projections'!AY267</x:f>
        <x:v>8.248414940397353</x:v>
      </x:c>
      <x:c r="I252" s="12" t="str">
        <x:f>'Weekly Projections'!H267</x:f>
        <x:v>ACTIVE</x:v>
      </x:c>
      <x:c r="J252" s="12" t="str">
        <x:f>'Weekly Projections'!AZ267</x:f>
        <x:v>High</x:v>
      </x:c>
      <x:c r="K252" s="12" t="n">
        <x:f>'Weekly Projections'!BA267</x:f>
        <x:v>5</x:v>
      </x:c>
      <x:c r="L252" s="12" t="n">
        <x:f>'Weekly Projections'!BC267</x:f>
        <x:v>26</x:v>
      </x:c>
      <x:c r="M252" s="12" t="str">
        <x:f>'Weekly Projections'!BD267</x:f>
        <x:v>→</x:v>
      </x:c>
    </x:row>
    <x:row r="253">
      <x:c r="A253" s="14" t="n">
        <x:f>'Weekly Projections'!BB268</x:f>
        <x:v>27</x:v>
      </x:c>
      <x:c r="B253" s="12" t="str">
        <x:f>'Weekly Projections'!A268</x:f>
        <x:v>Evan Engram</x:v>
      </x:c>
      <x:c r="C253" s="12" t="str">
        <x:f>'Weekly Projections'!B268</x:f>
        <x:v>DEN</x:v>
      </x:c>
      <x:c r="D253" s="12" t="str">
        <x:f>'Weekly Projections'!C268</x:f>
        <x:v>TE</x:v>
      </x:c>
      <x:c r="E253" s="12" t="str">
        <x:f>'Weekly Projections'!D268</x:f>
        <x:v>LAR</x:v>
      </x:c>
      <x:c r="F253" s="13" t="n">
        <x:f>'Weekly Projections'!AW268</x:f>
        <x:v>5.120105960264901</x:v>
      </x:c>
      <x:c r="G253" s="13" t="n">
        <x:f>'Weekly Projections'!AX268</x:f>
        <x:v>2.5600529801324505</x:v>
      </x:c>
      <x:c r="H253" s="13" t="n">
        <x:f>'Weekly Projections'!AY268</x:f>
        <x:v>8.192169536423842</x:v>
      </x:c>
      <x:c r="I253" s="12" t="str">
        <x:f>'Weekly Projections'!H268</x:f>
        <x:v>ACTIVE</x:v>
      </x:c>
      <x:c r="J253" s="12" t="str">
        <x:f>'Weekly Projections'!AZ268</x:f>
        <x:v>High</x:v>
      </x:c>
      <x:c r="K253" s="12" t="n">
        <x:f>'Weekly Projections'!BA268</x:f>
        <x:v>5</x:v>
      </x:c>
      <x:c r="L253" s="12" t="n">
        <x:f>'Weekly Projections'!BC268</x:f>
        <x:v>27</x:v>
      </x:c>
      <x:c r="M253" s="12" t="str">
        <x:f>'Weekly Projections'!BD268</x:f>
        <x:v>→</x:v>
      </x:c>
    </x:row>
    <x:row r="254">
      <x:c r="A254" s="14" t="n">
        <x:f>'Weekly Projections'!BB269</x:f>
        <x:v>28</x:v>
      </x:c>
      <x:c r="B254" s="12" t="str">
        <x:f>'Weekly Projections'!A269</x:f>
        <x:v>Zach Ertz</x:v>
      </x:c>
      <x:c r="C254" s="12" t="str">
        <x:f>'Weekly Projections'!B269</x:f>
        <x:v>PHI</x:v>
      </x:c>
      <x:c r="D254" s="12" t="str">
        <x:f>'Weekly Projections'!C269</x:f>
        <x:v>TE</x:v>
      </x:c>
      <x:c r="E254" s="12" t="str">
        <x:f>'Weekly Projections'!D269</x:f>
        <x:v>CHI</x:v>
      </x:c>
      <x:c r="F254" s="13" t="n">
        <x:f>'Weekly Projections'!AW269</x:f>
        <x:v>5.115017599999999</x:v>
      </x:c>
      <x:c r="G254" s="13" t="n">
        <x:f>'Weekly Projections'!AX269</x:f>
        <x:v>2.5575087999999995</x:v>
      </x:c>
      <x:c r="H254" s="13" t="n">
        <x:f>'Weekly Projections'!AY269</x:f>
        <x:v>8.184028159999999</x:v>
      </x:c>
      <x:c r="I254" s="12" t="str">
        <x:f>'Weekly Projections'!H269</x:f>
        <x:v>QUESTIONABLE</x:v>
      </x:c>
      <x:c r="J254" s="12" t="str">
        <x:f>'Weekly Projections'!AZ269</x:f>
        <x:v>Moderate</x:v>
      </x:c>
      <x:c r="K254" s="12" t="n">
        <x:f>'Weekly Projections'!BA269</x:f>
        <x:v>5</x:v>
      </x:c>
      <x:c r="L254" s="12" t="n">
        <x:f>'Weekly Projections'!BC269</x:f>
        <x:v>28</x:v>
      </x:c>
      <x:c r="M254" s="12" t="str">
        <x:f>'Weekly Projections'!BD269</x:f>
        <x:v>→</x:v>
      </x:c>
    </x:row>
    <x:row r="255">
      <x:c r="A255" s="14" t="n">
        <x:f>'Weekly Projections'!BB270</x:f>
        <x:v>29</x:v>
      </x:c>
      <x:c r="B255" s="12" t="str">
        <x:f>'Weekly Projections'!A270</x:f>
        <x:v>Chig Okonkwo</x:v>
      </x:c>
      <x:c r="C255" s="12" t="str">
        <x:f>'Weekly Projections'!B270</x:f>
        <x:v>WAS</x:v>
      </x:c>
      <x:c r="D255" s="12" t="str">
        <x:f>'Weekly Projections'!C270</x:f>
        <x:v>TE</x:v>
      </x:c>
      <x:c r="E255" s="12" t="str">
        <x:f>'Weekly Projections'!D270</x:f>
        <x:v>SEA</x:v>
      </x:c>
      <x:c r="F255" s="13" t="n">
        <x:f>'Weekly Projections'!AW270</x:f>
        <x:v>4.848733668874173</x:v>
      </x:c>
      <x:c r="G255" s="13" t="n">
        <x:f>'Weekly Projections'!AX270</x:f>
        <x:v>2.4243668344370866</x:v>
      </x:c>
      <x:c r="H255" s="13" t="n">
        <x:f>'Weekly Projections'!AY270</x:f>
        <x:v>7.757973870198677</x:v>
      </x:c>
      <x:c r="I255" s="12" t="str">
        <x:f>'Weekly Projections'!H270</x:f>
        <x:v>ACTIVE</x:v>
      </x:c>
      <x:c r="J255" s="12" t="str">
        <x:f>'Weekly Projections'!AZ270</x:f>
        <x:v>Moderate</x:v>
      </x:c>
      <x:c r="K255" s="12" t="n">
        <x:f>'Weekly Projections'!BA270</x:f>
        <x:v>5</x:v>
      </x:c>
      <x:c r="L255" s="12" t="n">
        <x:f>'Weekly Projections'!BC270</x:f>
        <x:v>29</x:v>
      </x:c>
      <x:c r="M255" s="12" t="str">
        <x:f>'Weekly Projections'!BD270</x:f>
        <x:v>→</x:v>
      </x:c>
    </x:row>
    <x:row r="256">
      <x:c r="A256" s="14" t="n">
        <x:f>'Weekly Projections'!BB271</x:f>
        <x:v>30</x:v>
      </x:c>
      <x:c r="B256" s="12" t="str">
        <x:f>'Weekly Projections'!A271</x:f>
        <x:v>Charlie Kolar</x:v>
      </x:c>
      <x:c r="C256" s="12" t="str">
        <x:f>'Weekly Projections'!B271</x:f>
        <x:v>LAC</x:v>
      </x:c>
      <x:c r="D256" s="12" t="str">
        <x:f>'Weekly Projections'!C271</x:f>
        <x:v>TE</x:v>
      </x:c>
      <x:c r="E256" s="12" t="str">
        <x:f>'Weekly Projections'!D271</x:f>
        <x:v>BUF</x:v>
      </x:c>
      <x:c r="F256" s="13" t="n">
        <x:f>'Weekly Projections'!AW271</x:f>
        <x:v>4.785567152317882</x:v>
      </x:c>
      <x:c r="G256" s="13" t="n">
        <x:f>'Weekly Projections'!AX271</x:f>
        <x:v>2.392783576158941</x:v>
      </x:c>
      <x:c r="H256" s="13" t="n">
        <x:f>'Weekly Projections'!AY271</x:f>
        <x:v>7.6569074437086115</x:v>
      </x:c>
      <x:c r="I256" s="12" t="str">
        <x:f>'Weekly Projections'!H271</x:f>
        <x:v>ACTIVE</x:v>
      </x:c>
      <x:c r="J256" s="12" t="str">
        <x:f>'Weekly Projections'!AZ271</x:f>
        <x:v>High</x:v>
      </x:c>
      <x:c r="K256" s="12" t="n">
        <x:f>'Weekly Projections'!BA271</x:f>
        <x:v>5</x:v>
      </x:c>
      <x:c r="L256" s="12" t="n">
        <x:f>'Weekly Projections'!BC271</x:f>
        <x:v>30</x:v>
      </x:c>
      <x:c r="M256" s="12" t="str">
        <x:f>'Weekly Projections'!BD271</x:f>
        <x:v>→</x:v>
      </x:c>
    </x:row>
    <x:row r="257">
      <x:c r="A257" s="14" t="n">
        <x:f>'Weekly Projections'!BB272</x:f>
        <x:v>31</x:v>
      </x:c>
      <x:c r="B257" s="12" t="str">
        <x:f>'Weekly Projections'!A272</x:f>
        <x:v>David Njoku</x:v>
      </x:c>
      <x:c r="C257" s="12" t="str">
        <x:f>'Weekly Projections'!B272</x:f>
        <x:v>LAC</x:v>
      </x:c>
      <x:c r="D257" s="12" t="str">
        <x:f>'Weekly Projections'!C272</x:f>
        <x:v>TE</x:v>
      </x:c>
      <x:c r="E257" s="12" t="str">
        <x:f>'Weekly Projections'!D272</x:f>
        <x:v>BUF</x:v>
      </x:c>
      <x:c r="F257" s="13" t="n">
        <x:f>'Weekly Projections'!AW272</x:f>
        <x:v>4.785567152317882</x:v>
      </x:c>
      <x:c r="G257" s="13" t="n">
        <x:f>'Weekly Projections'!AX272</x:f>
        <x:v>2.392783576158941</x:v>
      </x:c>
      <x:c r="H257" s="13" t="n">
        <x:f>'Weekly Projections'!AY272</x:f>
        <x:v>7.6569074437086115</x:v>
      </x:c>
      <x:c r="I257" s="12" t="str">
        <x:f>'Weekly Projections'!H272</x:f>
        <x:v>ACTIVE</x:v>
      </x:c>
      <x:c r="J257" s="12" t="str">
        <x:f>'Weekly Projections'!AZ272</x:f>
        <x:v>High</x:v>
      </x:c>
      <x:c r="K257" s="12" t="n">
        <x:f>'Weekly Projections'!BA272</x:f>
        <x:v>6</x:v>
      </x:c>
      <x:c r="L257" s="12" t="n">
        <x:f>'Weekly Projections'!BC272</x:f>
        <x:v>31</x:v>
      </x:c>
      <x:c r="M257" s="12" t="str">
        <x:f>'Weekly Projections'!BD272</x:f>
        <x:v>→</x:v>
      </x:c>
    </x:row>
    <x:row r="258">
      <x:c r="A258" s="14" t="n">
        <x:f>'Weekly Projections'!BB273</x:f>
        <x:v>32</x:v>
      </x:c>
      <x:c r="B258" s="12" t="str">
        <x:f>'Weekly Projections'!A273</x:f>
        <x:v>Oronde Gadsden II</x:v>
      </x:c>
      <x:c r="C258" s="12" t="str">
        <x:f>'Weekly Projections'!B273</x:f>
        <x:v>LAC</x:v>
      </x:c>
      <x:c r="D258" s="12" t="str">
        <x:f>'Weekly Projections'!C273</x:f>
        <x:v>TE</x:v>
      </x:c>
      <x:c r="E258" s="12" t="str">
        <x:f>'Weekly Projections'!D273</x:f>
        <x:v>BUF</x:v>
      </x:c>
      <x:c r="F258" s="13" t="n">
        <x:f>'Weekly Projections'!AW273</x:f>
        <x:v>4.687902516556292</x:v>
      </x:c>
      <x:c r="G258" s="13" t="n">
        <x:f>'Weekly Projections'!AX273</x:f>
        <x:v>2.343951258278146</x:v>
      </x:c>
      <x:c r="H258" s="13" t="n">
        <x:f>'Weekly Projections'!AY273</x:f>
        <x:v>7.500644026490068</x:v>
      </x:c>
      <x:c r="I258" s="12" t="str">
        <x:f>'Weekly Projections'!H273</x:f>
        <x:v>ACTIVE</x:v>
      </x:c>
      <x:c r="J258" s="12" t="str">
        <x:f>'Weekly Projections'!AZ273</x:f>
        <x:v>High</x:v>
      </x:c>
      <x:c r="K258" s="12" t="n">
        <x:f>'Weekly Projections'!BA273</x:f>
        <x:v>6</x:v>
      </x:c>
      <x:c r="L258" s="12" t="n">
        <x:f>'Weekly Projections'!BC273</x:f>
        <x:v>32</x:v>
      </x:c>
      <x:c r="M258" s="12" t="str">
        <x:f>'Weekly Projections'!BD273</x:f>
        <x:v>→</x:v>
      </x:c>
    </x:row>
    <x:row r="259">
      <x:c r="A259" s="14" t="n">
        <x:f>'Weekly Projections'!BB274</x:f>
        <x:v>33</x:v>
      </x:c>
      <x:c r="B259" s="12" t="str">
        <x:f>'Weekly Projections'!A274</x:f>
        <x:v>Mike Gesicki</x:v>
      </x:c>
      <x:c r="C259" s="12" t="str">
        <x:f>'Weekly Projections'!B274</x:f>
        <x:v>CIN</x:v>
      </x:c>
      <x:c r="D259" s="12" t="str">
        <x:f>'Weekly Projections'!C274</x:f>
        <x:v>TE</x:v>
      </x:c>
      <x:c r="E259" s="12" t="str">
        <x:f>'Weekly Projections'!D274</x:f>
        <x:v>PIT</x:v>
      </x:c>
      <x:c r="F259" s="13" t="n">
        <x:f>'Weekly Projections'!AW274</x:f>
        <x:v>4.429823841059603</x:v>
      </x:c>
      <x:c r="G259" s="13" t="n">
        <x:f>'Weekly Projections'!AX274</x:f>
        <x:v>2.2149119205298016</x:v>
      </x:c>
      <x:c r="H259" s="13" t="n">
        <x:f>'Weekly Projections'!AY274</x:f>
        <x:v>7.087718145695366</x:v>
      </x:c>
      <x:c r="I259" s="12" t="str">
        <x:f>'Weekly Projections'!H274</x:f>
        <x:v>ACTIVE</x:v>
      </x:c>
      <x:c r="J259" s="12" t="str">
        <x:f>'Weekly Projections'!AZ274</x:f>
        <x:v>High</x:v>
      </x:c>
      <x:c r="K259" s="12" t="n">
        <x:f>'Weekly Projections'!BA274</x:f>
        <x:v>6</x:v>
      </x:c>
      <x:c r="L259" s="12" t="n">
        <x:f>'Weekly Projections'!BC274</x:f>
        <x:v>33</x:v>
      </x:c>
      <x:c r="M259" s="12" t="str">
        <x:f>'Weekly Projections'!BD274</x:f>
        <x:v>→</x:v>
      </x:c>
    </x:row>
    <x:row r="260">
      <x:c r="A260" s="14" t="n">
        <x:f>'Weekly Projections'!BB275</x:f>
        <x:v>34</x:v>
      </x:c>
      <x:c r="B260" s="12" t="str">
        <x:f>'Weekly Projections'!A275</x:f>
        <x:v>Greg Dulcich</x:v>
      </x:c>
      <x:c r="C260" s="12" t="str">
        <x:f>'Weekly Projections'!B275</x:f>
        <x:v>MIA</x:v>
      </x:c>
      <x:c r="D260" s="12" t="str">
        <x:f>'Weekly Projections'!C275</x:f>
        <x:v>TE</x:v>
      </x:c>
      <x:c r="E260" s="12" t="str">
        <x:f>'Weekly Projections'!D275</x:f>
        <x:v>KC</x:v>
      </x:c>
      <x:c r="F260" s="13" t="n">
        <x:f>'Weekly Projections'!AW275</x:f>
        <x:v>4.416568211920531</x:v>
      </x:c>
      <x:c r="G260" s="13" t="n">
        <x:f>'Weekly Projections'!AX275</x:f>
        <x:v>2.2082841059602654</x:v>
      </x:c>
      <x:c r="H260" s="13" t="n">
        <x:f>'Weekly Projections'!AY275</x:f>
        <x:v>7.066509139072849</x:v>
      </x:c>
      <x:c r="I260" s="12" t="str">
        <x:f>'Weekly Projections'!H275</x:f>
        <x:v>ACTIVE</x:v>
      </x:c>
      <x:c r="J260" s="12" t="str">
        <x:f>'Weekly Projections'!AZ275</x:f>
        <x:v>High</x:v>
      </x:c>
      <x:c r="K260" s="12" t="n">
        <x:f>'Weekly Projections'!BA275</x:f>
        <x:v>6</x:v>
      </x:c>
      <x:c r="L260" s="12" t="n">
        <x:f>'Weekly Projections'!BC275</x:f>
        <x:v>34</x:v>
      </x:c>
      <x:c r="M260" s="12" t="str">
        <x:f>'Weekly Projections'!BD275</x:f>
        <x:v>→</x:v>
      </x:c>
    </x:row>
    <x:row r="261">
      <x:c r="A261" s="14" t="n">
        <x:f>'Weekly Projections'!BB276</x:f>
        <x:v>35</x:v>
      </x:c>
      <x:c r="B261" s="12" t="str">
        <x:f>'Weekly Projections'!A276</x:f>
        <x:v>Darren Waller</x:v>
      </x:c>
      <x:c r="C261" s="12" t="str">
        <x:f>'Weekly Projections'!B276</x:f>
        <x:v>CAR</x:v>
      </x:c>
      <x:c r="D261" s="12" t="str">
        <x:f>'Weekly Projections'!C276</x:f>
        <x:v>TE</x:v>
      </x:c>
      <x:c r="E261" s="12" t="str">
        <x:f>'Weekly Projections'!D276</x:f>
        <x:v>CLE</x:v>
      </x:c>
      <x:c r="F261" s="13" t="n">
        <x:f>'Weekly Projections'!AW276</x:f>
        <x:v>4.166770860927152</x:v>
      </x:c>
      <x:c r="G261" s="13" t="n">
        <x:f>'Weekly Projections'!AX276</x:f>
        <x:v>2.083385430463576</x:v>
      </x:c>
      <x:c r="H261" s="13" t="n">
        <x:f>'Weekly Projections'!AY276</x:f>
        <x:v>6.666833377483444</x:v>
      </x:c>
      <x:c r="I261" s="12" t="str">
        <x:f>'Weekly Projections'!H276</x:f>
        <x:v>ACTIVE</x:v>
      </x:c>
      <x:c r="J261" s="12" t="str">
        <x:f>'Weekly Projections'!AZ276</x:f>
        <x:v>High</x:v>
      </x:c>
      <x:c r="K261" s="12" t="n">
        <x:f>'Weekly Projections'!BA276</x:f>
        <x:v>6</x:v>
      </x:c>
      <x:c r="L261" s="12" t="n">
        <x:f>'Weekly Projections'!BC276</x:f>
        <x:v>35</x:v>
      </x:c>
      <x:c r="M261" s="12" t="str">
        <x:f>'Weekly Projections'!BD276</x:f>
        <x:v>→</x:v>
      </x:c>
    </x:row>
    <x:row r="262">
      <x:c r="A262" s="14" t="n">
        <x:f>'Weekly Projections'!BB277</x:f>
        <x:v>36</x:v>
      </x:c>
      <x:c r="B262" s="12" t="str">
        <x:f>'Weekly Projections'!A277</x:f>
        <x:v>Colby Parkinson</x:v>
      </x:c>
      <x:c r="C262" s="12" t="str">
        <x:f>'Weekly Projections'!B277</x:f>
        <x:v>LAR</x:v>
      </x:c>
      <x:c r="D262" s="12" t="str">
        <x:f>'Weekly Projections'!C277</x:f>
        <x:v>TE</x:v>
      </x:c>
      <x:c r="E262" s="12" t="str">
        <x:f>'Weekly Projections'!D277</x:f>
        <x:v>DEN</x:v>
      </x:c>
      <x:c r="F262" s="13" t="n">
        <x:f>'Weekly Projections'!AW277</x:f>
        <x:v>4.126906490066226</x:v>
      </x:c>
      <x:c r="G262" s="13" t="n">
        <x:f>'Weekly Projections'!AX277</x:f>
        <x:v>2.063453245033113</x:v>
      </x:c>
      <x:c r="H262" s="13" t="n">
        <x:f>'Weekly Projections'!AY277</x:f>
        <x:v>6.603050384105962</x:v>
      </x:c>
      <x:c r="I262" s="12" t="str">
        <x:f>'Weekly Projections'!H277</x:f>
        <x:v>ACTIVE</x:v>
      </x:c>
      <x:c r="J262" s="12" t="str">
        <x:f>'Weekly Projections'!AZ277</x:f>
        <x:v>High</x:v>
      </x:c>
      <x:c r="K262" s="12" t="n">
        <x:f>'Weekly Projections'!BA277</x:f>
        <x:v>6</x:v>
      </x:c>
      <x:c r="L262" s="12" t="n">
        <x:f>'Weekly Projections'!BC277</x:f>
        <x:v>36</x:v>
      </x:c>
      <x:c r="M262" s="12" t="str">
        <x:f>'Weekly Projections'!BD277</x:f>
        <x:v>→</x:v>
      </x:c>
    </x:row>
    <x:row r="263">
      <x:c r="A263" s="14" t="n">
        <x:f>'Weekly Projections'!BB313</x:f>
        <x:v>1</x:v>
      </x:c>
      <x:c r="B263" s="12" t="str">
        <x:f>'Weekly Projections'!A313</x:f>
        <x:v>Baltimore Ravens</x:v>
      </x:c>
      <x:c r="C263" s="12" t="str">
        <x:f>'Weekly Projections'!B313</x:f>
        <x:v>BAL</x:v>
      </x:c>
      <x:c r="D263" s="12" t="str">
        <x:f>'Weekly Projections'!C313</x:f>
        <x:v>DST</x:v>
      </x:c>
      <x:c r="E263" s="12" t="str">
        <x:f>'Weekly Projections'!D313</x:f>
        <x:v>DAL</x:v>
      </x:c>
      <x:c r="F263" s="13" t="n">
        <x:f>'Weekly Projections'!AW313</x:f>
        <x:v>9.6096</x:v>
      </x:c>
      <x:c r="G263" s="13" t="n">
        <x:f>'Weekly Projections'!AX313</x:f>
        <x:v>3.84384</x:v>
      </x:c>
      <x:c r="H263" s="13" t="n">
        <x:f>'Weekly Projections'!AY313</x:f>
        <x:v>15.85584</x:v>
      </x:c>
      <x:c r="I263" s="12" t="str">
        <x:f>'Weekly Projections'!H313</x:f>
        <x:v>ACTIVE</x:v>
      </x:c>
      <x:c r="J263" s="12" t="str">
        <x:f>'Weekly Projections'!AZ313</x:f>
        <x:v>High</x:v>
      </x:c>
      <x:c r="K263" s="12" t="n">
        <x:f>'Weekly Projections'!BA313</x:f>
        <x:v>1</x:v>
      </x:c>
      <x:c r="L263" s="12" t="n">
        <x:f>'Weekly Projections'!BC313</x:f>
        <x:v>1</x:v>
      </x:c>
      <x:c r="M263" s="12" t="str">
        <x:f>'Weekly Projections'!BD313</x:f>
        <x:v>→</x:v>
      </x:c>
    </x:row>
    <x:row r="264">
      <x:c r="A264" s="14" t="n">
        <x:f>'Weekly Projections'!BB314</x:f>
        <x:v>2</x:v>
      </x:c>
      <x:c r="B264" s="12" t="str">
        <x:f>'Weekly Projections'!A314</x:f>
        <x:v>Seattle Seahawks</x:v>
      </x:c>
      <x:c r="C264" s="12" t="str">
        <x:f>'Weekly Projections'!B314</x:f>
        <x:v>SEA</x:v>
      </x:c>
      <x:c r="D264" s="12" t="str">
        <x:f>'Weekly Projections'!C314</x:f>
        <x:v>DST</x:v>
      </x:c>
      <x:c r="E264" s="12" t="str">
        <x:f>'Weekly Projections'!D314</x:f>
        <x:v>WAS</x:v>
      </x:c>
      <x:c r="F264" s="13" t="n">
        <x:f>'Weekly Projections'!AW314</x:f>
        <x:v>9.27</x:v>
      </x:c>
      <x:c r="G264" s="13" t="n">
        <x:f>'Weekly Projections'!AX314</x:f>
        <x:v>3.708</x:v>
      </x:c>
      <x:c r="H264" s="13" t="n">
        <x:f>'Weekly Projections'!AY314</x:f>
        <x:v>15.295499999999999</x:v>
      </x:c>
      <x:c r="I264" s="12" t="str">
        <x:f>'Weekly Projections'!H314</x:f>
        <x:v>ACTIVE</x:v>
      </x:c>
      <x:c r="J264" s="12" t="str">
        <x:f>'Weekly Projections'!AZ314</x:f>
        <x:v>High</x:v>
      </x:c>
      <x:c r="K264" s="12" t="n">
        <x:f>'Weekly Projections'!BA314</x:f>
        <x:v>1</x:v>
      </x:c>
      <x:c r="L264" s="12" t="n">
        <x:f>'Weekly Projections'!BC314</x:f>
        <x:v>2</x:v>
      </x:c>
      <x:c r="M264" s="12" t="str">
        <x:f>'Weekly Projections'!BD314</x:f>
        <x:v>→</x:v>
      </x:c>
    </x:row>
    <x:row r="265">
      <x:c r="A265" s="14" t="n">
        <x:f>'Weekly Projections'!BB315</x:f>
        <x:v>3</x:v>
      </x:c>
      <x:c r="B265" s="12" t="str">
        <x:f>'Weekly Projections'!A315</x:f>
        <x:v>Houston Texans</x:v>
      </x:c>
      <x:c r="C265" s="12" t="str">
        <x:f>'Weekly Projections'!B315</x:f>
        <x:v>HOU</x:v>
      </x:c>
      <x:c r="D265" s="12" t="str">
        <x:f>'Weekly Projections'!C315</x:f>
        <x:v>DST</x:v>
      </x:c>
      <x:c r="E265" s="12" t="str">
        <x:f>'Weekly Projections'!D315</x:f>
        <x:v>IND</x:v>
      </x:c>
      <x:c r="F265" s="13" t="n">
        <x:f>'Weekly Projections'!AW315</x:f>
        <x:v>9.075330000000001</x:v>
      </x:c>
      <x:c r="G265" s="13" t="n">
        <x:f>'Weekly Projections'!AX315</x:f>
        <x:v>3.6301320000000006</x:v>
      </x:c>
      <x:c r="H265" s="13" t="n">
        <x:f>'Weekly Projections'!AY315</x:f>
        <x:v>14.974294500000001</x:v>
      </x:c>
      <x:c r="I265" s="12" t="str">
        <x:f>'Weekly Projections'!H315</x:f>
        <x:v>ACTIVE</x:v>
      </x:c>
      <x:c r="J265" s="12" t="str">
        <x:f>'Weekly Projections'!AZ315</x:f>
        <x:v>High</x:v>
      </x:c>
      <x:c r="K265" s="12" t="n">
        <x:f>'Weekly Projections'!BA315</x:f>
        <x:v>1</x:v>
      </x:c>
      <x:c r="L265" s="12" t="n">
        <x:f>'Weekly Projections'!BC315</x:f>
        <x:v>3</x:v>
      </x:c>
      <x:c r="M265" s="12" t="str">
        <x:f>'Weekly Projections'!BD315</x:f>
        <x:v>→</x:v>
      </x:c>
    </x:row>
    <x:row r="266">
      <x:c r="A266" s="14" t="n">
        <x:f>'Weekly Projections'!BB316</x:f>
        <x:v>4</x:v>
      </x:c>
      <x:c r="B266" s="12" t="str">
        <x:f>'Weekly Projections'!A316</x:f>
        <x:v>Kansas City Chiefs</x:v>
      </x:c>
      <x:c r="C266" s="12" t="str">
        <x:f>'Weekly Projections'!B316</x:f>
        <x:v>KC</x:v>
      </x:c>
      <x:c r="D266" s="12" t="str">
        <x:f>'Weekly Projections'!C316</x:f>
        <x:v>DST</x:v>
      </x:c>
      <x:c r="E266" s="12" t="str">
        <x:f>'Weekly Projections'!D316</x:f>
        <x:v>MIA</x:v>
      </x:c>
      <x:c r="F266" s="13" t="n">
        <x:f>'Weekly Projections'!AW316</x:f>
        <x:v>9.01765</x:v>
      </x:c>
      <x:c r="G266" s="13" t="n">
        <x:f>'Weekly Projections'!AX316</x:f>
        <x:v>3.60706</x:v>
      </x:c>
      <x:c r="H266" s="13" t="n">
        <x:f>'Weekly Projections'!AY316</x:f>
        <x:v>14.8791225</x:v>
      </x:c>
      <x:c r="I266" s="12" t="str">
        <x:f>'Weekly Projections'!H316</x:f>
        <x:v>ACTIVE</x:v>
      </x:c>
      <x:c r="J266" s="12" t="str">
        <x:f>'Weekly Projections'!AZ316</x:f>
        <x:v>High</x:v>
      </x:c>
      <x:c r="K266" s="12" t="n">
        <x:f>'Weekly Projections'!BA316</x:f>
        <x:v>1</x:v>
      </x:c>
      <x:c r="L266" s="12" t="n">
        <x:f>'Weekly Projections'!BC316</x:f>
        <x:v>4</x:v>
      </x:c>
      <x:c r="M266" s="12" t="str">
        <x:f>'Weekly Projections'!BD316</x:f>
        <x:v>→</x:v>
      </x:c>
    </x:row>
    <x:row r="267">
      <x:c r="A267" s="14" t="n">
        <x:f>'Weekly Projections'!BB317</x:f>
        <x:v>5</x:v>
      </x:c>
      <x:c r="B267" s="12" t="str">
        <x:f>'Weekly Projections'!A317</x:f>
        <x:v>Minnesota Vikings</x:v>
      </x:c>
      <x:c r="C267" s="12" t="str">
        <x:f>'Weekly Projections'!B317</x:f>
        <x:v>MIN</x:v>
      </x:c>
      <x:c r="D267" s="12" t="str">
        <x:f>'Weekly Projections'!C317</x:f>
        <x:v>DST</x:v>
      </x:c>
      <x:c r="E267" s="12" t="str">
        <x:f>'Weekly Projections'!D317</x:f>
        <x:v>TB</x:v>
      </x:c>
      <x:c r="F267" s="13" t="n">
        <x:f>'Weekly Projections'!AW317</x:f>
        <x:v>8.59914</x:v>
      </x:c>
      <x:c r="G267" s="13" t="n">
        <x:f>'Weekly Projections'!AX317</x:f>
        <x:v>3.4396560000000003</x:v>
      </x:c>
      <x:c r="H267" s="13" t="n">
        <x:f>'Weekly Projections'!AY317</x:f>
        <x:v>14.188581</x:v>
      </x:c>
      <x:c r="I267" s="12" t="str">
        <x:f>'Weekly Projections'!H317</x:f>
        <x:v>ACTIVE</x:v>
      </x:c>
      <x:c r="J267" s="12" t="str">
        <x:f>'Weekly Projections'!AZ317</x:f>
        <x:v>High</x:v>
      </x:c>
      <x:c r="K267" s="12" t="n">
        <x:f>'Weekly Projections'!BA317</x:f>
        <x:v>1</x:v>
      </x:c>
      <x:c r="L267" s="12" t="n">
        <x:f>'Weekly Projections'!BC317</x:f>
        <x:v>5</x:v>
      </x:c>
      <x:c r="M267" s="12" t="str">
        <x:f>'Weekly Projections'!BD317</x:f>
        <x:v>→</x:v>
      </x:c>
    </x:row>
    <x:row r="268">
      <x:c r="A268" s="14" t="n">
        <x:f>'Weekly Projections'!BB318</x:f>
        <x:v>6</x:v>
      </x:c>
      <x:c r="B268" s="12" t="str">
        <x:f>'Weekly Projections'!A318</x:f>
        <x:v>Philadelphia Eagles</x:v>
      </x:c>
      <x:c r="C268" s="12" t="str">
        <x:f>'Weekly Projections'!B318</x:f>
        <x:v>PHI</x:v>
      </x:c>
      <x:c r="D268" s="12" t="str">
        <x:f>'Weekly Projections'!C318</x:f>
        <x:v>DST</x:v>
      </x:c>
      <x:c r="E268" s="12" t="str">
        <x:f>'Weekly Projections'!D318</x:f>
        <x:v>CHI</x:v>
      </x:c>
      <x:c r="F268" s="13" t="n">
        <x:f>'Weekly Projections'!AW318</x:f>
        <x:v>8.50986</x:v>
      </x:c>
      <x:c r="G268" s="13" t="n">
        <x:f>'Weekly Projections'!AX318</x:f>
        <x:v>3.403944</x:v>
      </x:c>
      <x:c r="H268" s="13" t="n">
        <x:f>'Weekly Projections'!AY318</x:f>
        <x:v>14.041268999999998</x:v>
      </x:c>
      <x:c r="I268" s="12" t="str">
        <x:f>'Weekly Projections'!H318</x:f>
        <x:v>ACTIVE</x:v>
      </x:c>
      <x:c r="J268" s="12" t="str">
        <x:f>'Weekly Projections'!AZ318</x:f>
        <x:v>High</x:v>
      </x:c>
      <x:c r="K268" s="12" t="n">
        <x:f>'Weekly Projections'!BA318</x:f>
        <x:v>1</x:v>
      </x:c>
      <x:c r="L268" s="12" t="n">
        <x:f>'Weekly Projections'!BC318</x:f>
        <x:v>6</x:v>
      </x:c>
      <x:c r="M268" s="12" t="str">
        <x:f>'Weekly Projections'!BD318</x:f>
        <x:v>→</x:v>
      </x:c>
    </x:row>
    <x:row r="269">
      <x:c r="A269" s="14" t="n">
        <x:f>'Weekly Projections'!BB319</x:f>
        <x:v>7</x:v>
      </x:c>
      <x:c r="B269" s="12" t="str">
        <x:f>'Weekly Projections'!A319</x:f>
        <x:v>Los Angeles Chargers</x:v>
      </x:c>
      <x:c r="C269" s="12" t="str">
        <x:f>'Weekly Projections'!B319</x:f>
        <x:v>LAC</x:v>
      </x:c>
      <x:c r="D269" s="12" t="str">
        <x:f>'Weekly Projections'!C319</x:f>
        <x:v>DST</x:v>
      </x:c>
      <x:c r="E269" s="12" t="str">
        <x:f>'Weekly Projections'!D319</x:f>
        <x:v>BUF</x:v>
      </x:c>
      <x:c r="F269" s="13" t="n">
        <x:f>'Weekly Projections'!AW319</x:f>
        <x:v>8.43552</x:v>
      </x:c>
      <x:c r="G269" s="13" t="n">
        <x:f>'Weekly Projections'!AX319</x:f>
        <x:v>3.3742080000000003</x:v>
      </x:c>
      <x:c r="H269" s="13" t="n">
        <x:f>'Weekly Projections'!AY319</x:f>
        <x:v>13.918607999999999</x:v>
      </x:c>
      <x:c r="I269" s="12" t="str">
        <x:f>'Weekly Projections'!H319</x:f>
        <x:v>ACTIVE</x:v>
      </x:c>
      <x:c r="J269" s="12" t="str">
        <x:f>'Weekly Projections'!AZ319</x:f>
        <x:v>High</x:v>
      </x:c>
      <x:c r="K269" s="12" t="n">
        <x:f>'Weekly Projections'!BA319</x:f>
        <x:v>1</x:v>
      </x:c>
      <x:c r="L269" s="12" t="n">
        <x:f>'Weekly Projections'!BC319</x:f>
        <x:v>7</x:v>
      </x:c>
      <x:c r="M269" s="12" t="str">
        <x:f>'Weekly Projections'!BD319</x:f>
        <x:v>→</x:v>
      </x:c>
    </x:row>
    <x:row r="270">
      <x:c r="A270" s="14" t="n">
        <x:f>'Weekly Projections'!BB320</x:f>
        <x:v>8</x:v>
      </x:c>
      <x:c r="B270" s="12" t="str">
        <x:f>'Weekly Projections'!A320</x:f>
        <x:v>Los Angeles Rams</x:v>
      </x:c>
      <x:c r="C270" s="12" t="str">
        <x:f>'Weekly Projections'!B320</x:f>
        <x:v>LAR</x:v>
      </x:c>
      <x:c r="D270" s="12" t="str">
        <x:f>'Weekly Projections'!C320</x:f>
        <x:v>DST</x:v>
      </x:c>
      <x:c r="E270" s="12" t="str">
        <x:f>'Weekly Projections'!D320</x:f>
        <x:v>DEN</x:v>
      </x:c>
      <x:c r="F270" s="13" t="n">
        <x:f>'Weekly Projections'!AW320</x:f>
        <x:v>8.338880000000001</x:v>
      </x:c>
      <x:c r="G270" s="13" t="n">
        <x:f>'Weekly Projections'!AX320</x:f>
        <x:v>3.3355520000000007</x:v>
      </x:c>
      <x:c r="H270" s="13" t="n">
        <x:f>'Weekly Projections'!AY320</x:f>
        <x:v>13.759152000000002</x:v>
      </x:c>
      <x:c r="I270" s="12" t="str">
        <x:f>'Weekly Projections'!H320</x:f>
        <x:v>ACTIVE</x:v>
      </x:c>
      <x:c r="J270" s="12" t="str">
        <x:f>'Weekly Projections'!AZ320</x:f>
        <x:v>High</x:v>
      </x:c>
      <x:c r="K270" s="12" t="n">
        <x:f>'Weekly Projections'!BA320</x:f>
        <x:v>1</x:v>
      </x:c>
      <x:c r="L270" s="12" t="n">
        <x:f>'Weekly Projections'!BC320</x:f>
        <x:v>8</x:v>
      </x:c>
      <x:c r="M270" s="12" t="str">
        <x:f>'Weekly Projections'!BD320</x:f>
        <x:v>→</x:v>
      </x:c>
    </x:row>
    <x:row r="271">
      <x:c r="A271" s="14" t="n">
        <x:f>'Weekly Projections'!BB321</x:f>
        <x:v>9</x:v>
      </x:c>
      <x:c r="B271" s="12" t="str">
        <x:f>'Weekly Projections'!A321</x:f>
        <x:v>Detroit Lions</x:v>
      </x:c>
      <x:c r="C271" s="12" t="str">
        <x:f>'Weekly Projections'!B321</x:f>
        <x:v>DET</x:v>
      </x:c>
      <x:c r="D271" s="12" t="str">
        <x:f>'Weekly Projections'!C321</x:f>
        <x:v>DST</x:v>
      </x:c>
      <x:c r="E271" s="12" t="str">
        <x:f>'Weekly Projections'!D321</x:f>
        <x:v>NYJ</x:v>
      </x:c>
      <x:c r="F271" s="13" t="n">
        <x:f>'Weekly Projections'!AW321</x:f>
        <x:v>8.27502</x:v>
      </x:c>
      <x:c r="G271" s="13" t="n">
        <x:f>'Weekly Projections'!AX321</x:f>
        <x:v>3.310008</x:v>
      </x:c>
      <x:c r="H271" s="13" t="n">
        <x:f>'Weekly Projections'!AY321</x:f>
        <x:v>13.653782999999999</x:v>
      </x:c>
      <x:c r="I271" s="12" t="str">
        <x:f>'Weekly Projections'!H321</x:f>
        <x:v>ACTIVE</x:v>
      </x:c>
      <x:c r="J271" s="12" t="str">
        <x:f>'Weekly Projections'!AZ321</x:f>
        <x:v>High</x:v>
      </x:c>
      <x:c r="K271" s="12" t="n">
        <x:f>'Weekly Projections'!BA321</x:f>
        <x:v>2</x:v>
      </x:c>
      <x:c r="L271" s="12" t="n">
        <x:f>'Weekly Projections'!BC321</x:f>
        <x:v>9</x:v>
      </x:c>
      <x:c r="M271" s="12" t="str">
        <x:f>'Weekly Projections'!BD321</x:f>
        <x:v>→</x:v>
      </x:c>
    </x:row>
    <x:row r="272">
      <x:c r="A272" s="14" t="n">
        <x:f>'Weekly Projections'!BB322</x:f>
        <x:v>10</x:v>
      </x:c>
      <x:c r="B272" s="12" t="str">
        <x:f>'Weekly Projections'!A322</x:f>
        <x:v>Jacksonville Jaguars</x:v>
      </x:c>
      <x:c r="C272" s="12" t="str">
        <x:f>'Weekly Projections'!B322</x:f>
        <x:v>JAC</x:v>
      </x:c>
      <x:c r="D272" s="12" t="str">
        <x:f>'Weekly Projections'!C322</x:f>
        <x:v>DST</x:v>
      </x:c>
      <x:c r="E272" s="12" t="str">
        <x:f>'Weekly Projections'!D322</x:f>
        <x:v>NE</x:v>
      </x:c>
      <x:c r="F272" s="13" t="n">
        <x:f>'Weekly Projections'!AW322</x:f>
        <x:v>8.217000000000002</x:v>
      </x:c>
      <x:c r="G272" s="13" t="n">
        <x:f>'Weekly Projections'!AX322</x:f>
        <x:v>3.2868000000000013</x:v>
      </x:c>
      <x:c r="H272" s="13" t="n">
        <x:f>'Weekly Projections'!AY322</x:f>
        <x:v>13.558050000000003</x:v>
      </x:c>
      <x:c r="I272" s="12" t="str">
        <x:f>'Weekly Projections'!H322</x:f>
        <x:v>ACTIVE</x:v>
      </x:c>
      <x:c r="J272" s="12" t="str">
        <x:f>'Weekly Projections'!AZ322</x:f>
        <x:v>High</x:v>
      </x:c>
      <x:c r="K272" s="12" t="n">
        <x:f>'Weekly Projections'!BA322</x:f>
        <x:v>2</x:v>
      </x:c>
      <x:c r="L272" s="12" t="n">
        <x:f>'Weekly Projections'!BC322</x:f>
        <x:v>10</x:v>
      </x:c>
      <x:c r="M272" s="12" t="str">
        <x:f>'Weekly Projections'!BD322</x:f>
        <x:v>→</x:v>
      </x:c>
    </x:row>
    <x:row r="273">
      <x:c r="A273" s="14" t="n">
        <x:f>'Weekly Projections'!BB323</x:f>
        <x:v>11</x:v>
      </x:c>
      <x:c r="B273" s="12" t="str">
        <x:f>'Weekly Projections'!A323</x:f>
        <x:v>New England Patriots</x:v>
      </x:c>
      <x:c r="C273" s="12" t="str">
        <x:f>'Weekly Projections'!B323</x:f>
        <x:v>NE</x:v>
      </x:c>
      <x:c r="D273" s="12" t="str">
        <x:f>'Weekly Projections'!C323</x:f>
        <x:v>DST</x:v>
      </x:c>
      <x:c r="E273" s="12" t="str">
        <x:f>'Weekly Projections'!D323</x:f>
        <x:v>JAX</x:v>
      </x:c>
      <x:c r="F273" s="13" t="n">
        <x:f>'Weekly Projections'!AW323</x:f>
        <x:v>8.19672</x:v>
      </x:c>
      <x:c r="G273" s="13" t="n">
        <x:f>'Weekly Projections'!AX323</x:f>
        <x:v>3.278688</x:v>
      </x:c>
      <x:c r="H273" s="13" t="n">
        <x:f>'Weekly Projections'!AY323</x:f>
        <x:v>13.524587999999998</x:v>
      </x:c>
      <x:c r="I273" s="12" t="str">
        <x:f>'Weekly Projections'!H323</x:f>
        <x:v>ACTIVE</x:v>
      </x:c>
      <x:c r="J273" s="12" t="str">
        <x:f>'Weekly Projections'!AZ323</x:f>
        <x:v>High</x:v>
      </x:c>
      <x:c r="K273" s="12" t="n">
        <x:f>'Weekly Projections'!BA323</x:f>
        <x:v>2</x:v>
      </x:c>
      <x:c r="L273" s="12" t="n">
        <x:f>'Weekly Projections'!BC323</x:f>
        <x:v>11</x:v>
      </x:c>
      <x:c r="M273" s="12" t="str">
        <x:f>'Weekly Projections'!BD323</x:f>
        <x:v>→</x:v>
      </x:c>
    </x:row>
    <x:row r="274">
      <x:c r="A274" s="14" t="n">
        <x:f>'Weekly Projections'!BB324</x:f>
        <x:v>12</x:v>
      </x:c>
      <x:c r="B274" s="12" t="str">
        <x:f>'Weekly Projections'!A324</x:f>
        <x:v>Green Bay Packers</x:v>
      </x:c>
      <x:c r="C274" s="12" t="str">
        <x:f>'Weekly Projections'!B324</x:f>
        <x:v>GB</x:v>
      </x:c>
      <x:c r="D274" s="12" t="str">
        <x:f>'Weekly Projections'!C324</x:f>
        <x:v>DST</x:v>
      </x:c>
      <x:c r="E274" s="12" t="str">
        <x:f>'Weekly Projections'!D324</x:f>
        <x:v>ATL</x:v>
      </x:c>
      <x:c r="F274" s="13" t="n">
        <x:f>'Weekly Projections'!AW324</x:f>
        <x:v>8.16</x:v>
      </x:c>
      <x:c r="G274" s="13" t="n">
        <x:f>'Weekly Projections'!AX324</x:f>
        <x:v>3.2640000000000002</x:v>
      </x:c>
      <x:c r="H274" s="13" t="n">
        <x:f>'Weekly Projections'!AY324</x:f>
        <x:v>13.463999999999999</x:v>
      </x:c>
      <x:c r="I274" s="12" t="str">
        <x:f>'Weekly Projections'!H324</x:f>
        <x:v>ACTIVE</x:v>
      </x:c>
      <x:c r="J274" s="12" t="str">
        <x:f>'Weekly Projections'!AZ324</x:f>
        <x:v>High</x:v>
      </x:c>
      <x:c r="K274" s="12" t="n">
        <x:f>'Weekly Projections'!BA324</x:f>
        <x:v>2</x:v>
      </x:c>
      <x:c r="L274" s="12" t="n">
        <x:f>'Weekly Projections'!BC324</x:f>
        <x:v>12</x:v>
      </x:c>
      <x:c r="M274" s="12" t="str">
        <x:f>'Weekly Projections'!BD324</x:f>
        <x:v>→</x:v>
      </x:c>
    </x:row>
    <x:row r="275">
      <x:c r="A275" s="14" t="n">
        <x:f>'Weekly Projections'!BB325</x:f>
        <x:v>13</x:v>
      </x:c>
      <x:c r="B275" s="12" t="str">
        <x:f>'Weekly Projections'!A325</x:f>
        <x:v>San Francisco 49ers</x:v>
      </x:c>
      <x:c r="C275" s="12" t="str">
        <x:f>'Weekly Projections'!B325</x:f>
        <x:v>SF</x:v>
      </x:c>
      <x:c r="D275" s="12" t="str">
        <x:f>'Weekly Projections'!C325</x:f>
        <x:v>DST</x:v>
      </x:c>
      <x:c r="E275" s="12" t="str">
        <x:f>'Weekly Projections'!D325</x:f>
        <x:v>ARI</x:v>
      </x:c>
      <x:c r="F275" s="13" t="n">
        <x:f>'Weekly Projections'!AW325</x:f>
        <x:v>8.16</x:v>
      </x:c>
      <x:c r="G275" s="13" t="n">
        <x:f>'Weekly Projections'!AX325</x:f>
        <x:v>3.2640000000000002</x:v>
      </x:c>
      <x:c r="H275" s="13" t="n">
        <x:f>'Weekly Projections'!AY325</x:f>
        <x:v>13.463999999999999</x:v>
      </x:c>
      <x:c r="I275" s="12" t="str">
        <x:f>'Weekly Projections'!H325</x:f>
        <x:v>ACTIVE</x:v>
      </x:c>
      <x:c r="J275" s="12" t="str">
        <x:f>'Weekly Projections'!AZ325</x:f>
        <x:v>High</x:v>
      </x:c>
      <x:c r="K275" s="12" t="n">
        <x:f>'Weekly Projections'!BA325</x:f>
        <x:v>2</x:v>
      </x:c>
      <x:c r="L275" s="12" t="n">
        <x:f>'Weekly Projections'!BC325</x:f>
        <x:v>13</x:v>
      </x:c>
      <x:c r="M275" s="12" t="str">
        <x:f>'Weekly Projections'!BD325</x:f>
        <x:v>→</x:v>
      </x:c>
    </x:row>
    <x:row r="276">
      <x:c r="A276" s="14" t="n">
        <x:f>'Weekly Projections'!BB326</x:f>
        <x:v>14</x:v>
      </x:c>
      <x:c r="B276" s="12" t="str">
        <x:f>'Weekly Projections'!A326</x:f>
        <x:v>Pittsburgh Steelers</x:v>
      </x:c>
      <x:c r="C276" s="12" t="str">
        <x:f>'Weekly Projections'!B326</x:f>
        <x:v>PIT</x:v>
      </x:c>
      <x:c r="D276" s="12" t="str">
        <x:f>'Weekly Projections'!C326</x:f>
        <x:v>DST</x:v>
      </x:c>
      <x:c r="E276" s="12" t="str">
        <x:f>'Weekly Projections'!D326</x:f>
        <x:v>CIN</x:v>
      </x:c>
      <x:c r="F276" s="13" t="n">
        <x:f>'Weekly Projections'!AW326</x:f>
        <x:v>8.117999999999999</x:v>
      </x:c>
      <x:c r="G276" s="13" t="n">
        <x:f>'Weekly Projections'!AX326</x:f>
        <x:v>3.2471999999999994</x:v>
      </x:c>
      <x:c r="H276" s="13" t="n">
        <x:f>'Weekly Projections'!AY326</x:f>
        <x:v>13.394699999999997</x:v>
      </x:c>
      <x:c r="I276" s="12" t="str">
        <x:f>'Weekly Projections'!H326</x:f>
        <x:v>ACTIVE</x:v>
      </x:c>
      <x:c r="J276" s="12" t="str">
        <x:f>'Weekly Projections'!AZ326</x:f>
        <x:v>High</x:v>
      </x:c>
      <x:c r="K276" s="12" t="n">
        <x:f>'Weekly Projections'!BA326</x:f>
        <x:v>2</x:v>
      </x:c>
      <x:c r="L276" s="12" t="n">
        <x:f>'Weekly Projections'!BC326</x:f>
        <x:v>14</x:v>
      </x:c>
      <x:c r="M276" s="12" t="str">
        <x:f>'Weekly Projections'!BD326</x:f>
        <x:v>→</x:v>
      </x:c>
    </x:row>
    <x:row r="277">
      <x:c r="A277" s="14" t="n">
        <x:f>'Weekly Projections'!BB327</x:f>
        <x:v>15</x:v>
      </x:c>
      <x:c r="B277" s="12" t="str">
        <x:f>'Weekly Projections'!A327</x:f>
        <x:v>Buffalo Bills</x:v>
      </x:c>
      <x:c r="C277" s="12" t="str">
        <x:f>'Weekly Projections'!B327</x:f>
        <x:v>BUF</x:v>
      </x:c>
      <x:c r="D277" s="12" t="str">
        <x:f>'Weekly Projections'!C327</x:f>
        <x:v>DST</x:v>
      </x:c>
      <x:c r="E277" s="12" t="str">
        <x:f>'Weekly Projections'!D327</x:f>
        <x:v>LAC</x:v>
      </x:c>
      <x:c r="F277" s="13" t="n">
        <x:f>'Weekly Projections'!AW327</x:f>
        <x:v>8.051680000000001</x:v>
      </x:c>
      <x:c r="G277" s="13" t="n">
        <x:f>'Weekly Projections'!AX327</x:f>
        <x:v>3.2206720000000004</x:v>
      </x:c>
      <x:c r="H277" s="13" t="n">
        <x:f>'Weekly Projections'!AY327</x:f>
        <x:v>13.285272</x:v>
      </x:c>
      <x:c r="I277" s="12" t="str">
        <x:f>'Weekly Projections'!H327</x:f>
        <x:v>ACTIVE</x:v>
      </x:c>
      <x:c r="J277" s="12" t="str">
        <x:f>'Weekly Projections'!AZ327</x:f>
        <x:v>High</x:v>
      </x:c>
      <x:c r="K277" s="12" t="n">
        <x:f>'Weekly Projections'!BA327</x:f>
        <x:v>2</x:v>
      </x:c>
      <x:c r="L277" s="12" t="n">
        <x:f>'Weekly Projections'!BC327</x:f>
        <x:v>15</x:v>
      </x:c>
      <x:c r="M277" s="12" t="str">
        <x:f>'Weekly Projections'!BD327</x:f>
        <x:v>→</x:v>
      </x:c>
    </x:row>
    <x:row r="278">
      <x:c r="A278" s="14" t="n">
        <x:f>'Weekly Projections'!BB328</x:f>
        <x:v>16</x:v>
      </x:c>
      <x:c r="B278" s="12" t="str">
        <x:f>'Weekly Projections'!A328</x:f>
        <x:v>Denver Broncos</x:v>
      </x:c>
      <x:c r="C278" s="12" t="str">
        <x:f>'Weekly Projections'!B328</x:f>
        <x:v>DEN</x:v>
      </x:c>
      <x:c r="D278" s="12" t="str">
        <x:f>'Weekly Projections'!C328</x:f>
        <x:v>DST</x:v>
      </x:c>
      <x:c r="E278" s="12" t="str">
        <x:f>'Weekly Projections'!D328</x:f>
        <x:v>LAR</x:v>
      </x:c>
      <x:c r="F278" s="13" t="n">
        <x:f>'Weekly Projections'!AW328</x:f>
        <x:v>8.036</x:v>
      </x:c>
      <x:c r="G278" s="13" t="n">
        <x:f>'Weekly Projections'!AX328</x:f>
        <x:v>3.2144</x:v>
      </x:c>
      <x:c r="H278" s="13" t="n">
        <x:f>'Weekly Projections'!AY328</x:f>
        <x:v>13.2594</x:v>
      </x:c>
      <x:c r="I278" s="12" t="str">
        <x:f>'Weekly Projections'!H328</x:f>
        <x:v>ACTIVE</x:v>
      </x:c>
      <x:c r="J278" s="12" t="str">
        <x:f>'Weekly Projections'!AZ328</x:f>
        <x:v>High</x:v>
      </x:c>
      <x:c r="K278" s="12" t="n">
        <x:f>'Weekly Projections'!BA328</x:f>
        <x:v>2</x:v>
      </x:c>
      <x:c r="L278" s="12" t="n">
        <x:f>'Weekly Projections'!BC328</x:f>
        <x:v>16</x:v>
      </x:c>
      <x:c r="M278" s="12" t="str">
        <x:f>'Weekly Projections'!BD328</x:f>
        <x:v>→</x:v>
      </x:c>
    </x:row>
    <x:row r="279">
      <x:c r="A279" s="14" t="n">
        <x:f>'Weekly Projections'!BB329</x:f>
        <x:v>17</x:v>
      </x:c>
      <x:c r="B279" s="12" t="str">
        <x:f>'Weekly Projections'!A329</x:f>
        <x:v>Cleveland Browns</x:v>
      </x:c>
      <x:c r="C279" s="12" t="str">
        <x:f>'Weekly Projections'!B329</x:f>
        <x:v>CLE</x:v>
      </x:c>
      <x:c r="D279" s="12" t="str">
        <x:f>'Weekly Projections'!C329</x:f>
        <x:v>DST</x:v>
      </x:c>
      <x:c r="E279" s="12" t="str">
        <x:f>'Weekly Projections'!D329</x:f>
        <x:v>CAR</x:v>
      </x:c>
      <x:c r="F279" s="13" t="n">
        <x:f>'Weekly Projections'!AW329</x:f>
        <x:v>7.666879999999999</x:v>
      </x:c>
      <x:c r="G279" s="13" t="n">
        <x:f>'Weekly Projections'!AX329</x:f>
        <x:v>3.0667519999999997</x:v>
      </x:c>
      <x:c r="H279" s="13" t="n">
        <x:f>'Weekly Projections'!AY329</x:f>
        <x:v>12.650351999999998</x:v>
      </x:c>
      <x:c r="I279" s="12" t="str">
        <x:f>'Weekly Projections'!H329</x:f>
        <x:v>ACTIVE</x:v>
      </x:c>
      <x:c r="J279" s="12" t="str">
        <x:f>'Weekly Projections'!AZ329</x:f>
        <x:v>High</x:v>
      </x:c>
      <x:c r="K279" s="12" t="n">
        <x:f>'Weekly Projections'!BA329</x:f>
        <x:v>3</x:v>
      </x:c>
      <x:c r="L279" s="12" t="n">
        <x:f>'Weekly Projections'!BC329</x:f>
        <x:v>17</x:v>
      </x:c>
      <x:c r="M279" s="12" t="str">
        <x:f>'Weekly Projections'!BD329</x:f>
        <x:v>→</x:v>
      </x:c>
    </x:row>
    <x:row r="280">
      <x:c r="A280" s="14" t="n">
        <x:f>'Weekly Projections'!BB330</x:f>
        <x:v>18</x:v>
      </x:c>
      <x:c r="B280" s="12" t="str">
        <x:f>'Weekly Projections'!A330</x:f>
        <x:v>New Orleans Saints</x:v>
      </x:c>
      <x:c r="C280" s="12" t="str">
        <x:f>'Weekly Projections'!B330</x:f>
        <x:v>NO</x:v>
      </x:c>
      <x:c r="D280" s="12" t="str">
        <x:f>'Weekly Projections'!C330</x:f>
        <x:v>DST</x:v>
      </x:c>
      <x:c r="E280" s="12" t="str">
        <x:f>'Weekly Projections'!D330</x:f>
        <x:v>LV</x:v>
      </x:c>
      <x:c r="F280" s="13" t="n">
        <x:f>'Weekly Projections'!AW330</x:f>
        <x:v>7.622999999999999</x:v>
      </x:c>
      <x:c r="G280" s="13" t="n">
        <x:f>'Weekly Projections'!AX330</x:f>
        <x:v>3.0492</x:v>
      </x:c>
      <x:c r="H280" s="13" t="n">
        <x:f>'Weekly Projections'!AY330</x:f>
        <x:v>12.577949999999998</x:v>
      </x:c>
      <x:c r="I280" s="12" t="str">
        <x:f>'Weekly Projections'!H330</x:f>
        <x:v>ACTIVE</x:v>
      </x:c>
      <x:c r="J280" s="12" t="str">
        <x:f>'Weekly Projections'!AZ330</x:f>
        <x:v>High</x:v>
      </x:c>
      <x:c r="K280" s="12" t="n">
        <x:f>'Weekly Projections'!BA330</x:f>
        <x:v>3</x:v>
      </x:c>
      <x:c r="L280" s="12" t="n">
        <x:f>'Weekly Projections'!BC330</x:f>
        <x:v>18</x:v>
      </x:c>
      <x:c r="M280" s="12" t="str">
        <x:f>'Weekly Projections'!BD330</x:f>
        <x:v>→</x:v>
      </x:c>
    </x:row>
    <x:row r="281">
      <x:c r="A281" s="14" t="n">
        <x:f>'Weekly Projections'!BB331</x:f>
        <x:v>19</x:v>
      </x:c>
      <x:c r="B281" s="12" t="str">
        <x:f>'Weekly Projections'!A331</x:f>
        <x:v>Indianapolis Colts</x:v>
      </x:c>
      <x:c r="C281" s="12" t="str">
        <x:f>'Weekly Projections'!B331</x:f>
        <x:v>IND</x:v>
      </x:c>
      <x:c r="D281" s="12" t="str">
        <x:f>'Weekly Projections'!C331</x:f>
        <x:v>DST</x:v>
      </x:c>
      <x:c r="E281" s="12" t="str">
        <x:f>'Weekly Projections'!D331</x:f>
        <x:v>HOU</x:v>
      </x:c>
      <x:c r="F281" s="13" t="n">
        <x:f>'Weekly Projections'!AW331</x:f>
        <x:v>7.22</x:v>
      </x:c>
      <x:c r="G281" s="13" t="n">
        <x:f>'Weekly Projections'!AX331</x:f>
        <x:v>2.888</x:v>
      </x:c>
      <x:c r="H281" s="13" t="n">
        <x:f>'Weekly Projections'!AY331</x:f>
        <x:v>11.912999999999998</x:v>
      </x:c>
      <x:c r="I281" s="12" t="str">
        <x:f>'Weekly Projections'!H331</x:f>
        <x:v>ACTIVE</x:v>
      </x:c>
      <x:c r="J281" s="12" t="str">
        <x:f>'Weekly Projections'!AZ331</x:f>
        <x:v>High</x:v>
      </x:c>
      <x:c r="K281" s="12" t="n">
        <x:f>'Weekly Projections'!BA331</x:f>
        <x:v>3</x:v>
      </x:c>
      <x:c r="L281" s="12" t="n">
        <x:f>'Weekly Projections'!BC331</x:f>
        <x:v>19</x:v>
      </x:c>
      <x:c r="M281" s="12" t="str">
        <x:f>'Weekly Projections'!BD331</x:f>
        <x:v>→</x:v>
      </x:c>
    </x:row>
    <x:row r="282">
      <x:c r="A282" s="14" t="n">
        <x:f>'Weekly Projections'!BB332</x:f>
        <x:v>20</x:v>
      </x:c>
      <x:c r="B282" s="12" t="str">
        <x:f>'Weekly Projections'!A332</x:f>
        <x:v>Tampa Bay Buccaneers</x:v>
      </x:c>
      <x:c r="C282" s="12" t="str">
        <x:f>'Weekly Projections'!B332</x:f>
        <x:v>TB</x:v>
      </x:c>
      <x:c r="D282" s="12" t="str">
        <x:f>'Weekly Projections'!C332</x:f>
        <x:v>DST</x:v>
      </x:c>
      <x:c r="E282" s="12" t="str">
        <x:f>'Weekly Projections'!D332</x:f>
        <x:v>MIN</x:v>
      </x:c>
      <x:c r="F282" s="13" t="n">
        <x:f>'Weekly Projections'!AW332</x:f>
        <x:v>7.12656</x:v>
      </x:c>
      <x:c r="G282" s="13" t="n">
        <x:f>'Weekly Projections'!AX332</x:f>
        <x:v>2.850624</x:v>
      </x:c>
      <x:c r="H282" s="13" t="n">
        <x:f>'Weekly Projections'!AY332</x:f>
        <x:v>11.758823999999999</x:v>
      </x:c>
      <x:c r="I282" s="12" t="str">
        <x:f>'Weekly Projections'!H332</x:f>
        <x:v>ACTIVE</x:v>
      </x:c>
      <x:c r="J282" s="12" t="str">
        <x:f>'Weekly Projections'!AZ332</x:f>
        <x:v>High</x:v>
      </x:c>
      <x:c r="K282" s="12" t="n">
        <x:f>'Weekly Projections'!BA332</x:f>
        <x:v>3</x:v>
      </x:c>
      <x:c r="L282" s="12" t="n">
        <x:f>'Weekly Projections'!BC332</x:f>
        <x:v>20</x:v>
      </x:c>
      <x:c r="M282" s="12" t="str">
        <x:f>'Weekly Projections'!BD332</x:f>
        <x:v>→</x:v>
      </x:c>
    </x:row>
    <x:row r="283">
      <x:c r="A283" s="14" t="n">
        <x:f>'Weekly Projections'!BB333</x:f>
        <x:v>21</x:v>
      </x:c>
      <x:c r="B283" s="12" t="str">
        <x:f>'Weekly Projections'!A333</x:f>
        <x:v>New York Giants</x:v>
      </x:c>
      <x:c r="C283" s="12" t="str">
        <x:f>'Weekly Projections'!B333</x:f>
        <x:v>NYG</x:v>
      </x:c>
      <x:c r="D283" s="12" t="str">
        <x:f>'Weekly Projections'!C333</x:f>
        <x:v>DST</x:v>
      </x:c>
      <x:c r="E283" s="12" t="str">
        <x:f>'Weekly Projections'!D333</x:f>
        <x:v>TEN</x:v>
      </x:c>
      <x:c r="F283" s="13" t="n">
        <x:f>'Weekly Projections'!AW333</x:f>
        <x:v>7.0502400000000005</x:v>
      </x:c>
      <x:c r="G283" s="13" t="n">
        <x:f>'Weekly Projections'!AX333</x:f>
        <x:v>2.8200960000000004</x:v>
      </x:c>
      <x:c r="H283" s="13" t="n">
        <x:f>'Weekly Projections'!AY333</x:f>
        <x:v>11.632896</x:v>
      </x:c>
      <x:c r="I283" s="12" t="str">
        <x:f>'Weekly Projections'!H333</x:f>
        <x:v>ACTIVE</x:v>
      </x:c>
      <x:c r="J283" s="12" t="str">
        <x:f>'Weekly Projections'!AZ333</x:f>
        <x:v>High</x:v>
      </x:c>
      <x:c r="K283" s="12" t="n">
        <x:f>'Weekly Projections'!BA333</x:f>
        <x:v>3</x:v>
      </x:c>
      <x:c r="L283" s="12" t="n">
        <x:f>'Weekly Projections'!BC333</x:f>
        <x:v>21</x:v>
      </x:c>
      <x:c r="M283" s="12" t="str">
        <x:f>'Weekly Projections'!BD333</x:f>
        <x:v>→</x:v>
      </x:c>
    </x:row>
    <x:row r="284">
      <x:c r="A284" s="14" t="n">
        <x:f>'Weekly Projections'!BB334</x:f>
        <x:v>22</x:v>
      </x:c>
      <x:c r="B284" s="12" t="str">
        <x:f>'Weekly Projections'!A334</x:f>
        <x:v>Dallas Cowboys</x:v>
      </x:c>
      <x:c r="C284" s="12" t="str">
        <x:f>'Weekly Projections'!B334</x:f>
        <x:v>DAL</x:v>
      </x:c>
      <x:c r="D284" s="12" t="str">
        <x:f>'Weekly Projections'!C334</x:f>
        <x:v>DST</x:v>
      </x:c>
      <x:c r="E284" s="12" t="str">
        <x:f>'Weekly Projections'!D334</x:f>
        <x:v>BAL</x:v>
      </x:c>
      <x:c r="F284" s="13" t="n">
        <x:f>'Weekly Projections'!AW334</x:f>
        <x:v>7.05</x:v>
      </x:c>
      <x:c r="G284" s="13" t="n">
        <x:f>'Weekly Projections'!AX334</x:f>
        <x:v>2.8200000000000003</x:v>
      </x:c>
      <x:c r="H284" s="13" t="n">
        <x:f>'Weekly Projections'!AY334</x:f>
        <x:v>11.632499999999999</x:v>
      </x:c>
      <x:c r="I284" s="12" t="str">
        <x:f>'Weekly Projections'!H334</x:f>
        <x:v>ACTIVE</x:v>
      </x:c>
      <x:c r="J284" s="12" t="str">
        <x:f>'Weekly Projections'!AZ334</x:f>
        <x:v>High</x:v>
      </x:c>
      <x:c r="K284" s="12" t="n">
        <x:f>'Weekly Projections'!BA334</x:f>
        <x:v>3</x:v>
      </x:c>
      <x:c r="L284" s="12" t="n">
        <x:f>'Weekly Projections'!BC334</x:f>
        <x:v>22</x:v>
      </x:c>
      <x:c r="M284" s="12" t="str">
        <x:f>'Weekly Projections'!BD334</x:f>
        <x:v>→</x:v>
      </x:c>
    </x:row>
    <x:row r="285">
      <x:c r="A285" s="14" t="n">
        <x:f>'Weekly Projections'!BB335</x:f>
        <x:v>23</x:v>
      </x:c>
      <x:c r="B285" s="12" t="str">
        <x:f>'Weekly Projections'!A335</x:f>
        <x:v>Cincinnati Bengals</x:v>
      </x:c>
      <x:c r="C285" s="12" t="str">
        <x:f>'Weekly Projections'!B335</x:f>
        <x:v>CIN</x:v>
      </x:c>
      <x:c r="D285" s="12" t="str">
        <x:f>'Weekly Projections'!C335</x:f>
        <x:v>DST</x:v>
      </x:c>
      <x:c r="E285" s="12" t="str">
        <x:f>'Weekly Projections'!D335</x:f>
        <x:v>PIT</x:v>
      </x:c>
      <x:c r="F285" s="13" t="n">
        <x:f>'Weekly Projections'!AW335</x:f>
        <x:v>6.857900000000001</x:v>
      </x:c>
      <x:c r="G285" s="13" t="n">
        <x:f>'Weekly Projections'!AX335</x:f>
        <x:v>2.7431600000000005</x:v>
      </x:c>
      <x:c r="H285" s="13" t="n">
        <x:f>'Weekly Projections'!AY335</x:f>
        <x:v>11.315535</x:v>
      </x:c>
      <x:c r="I285" s="12" t="str">
        <x:f>'Weekly Projections'!H335</x:f>
        <x:v>ACTIVE</x:v>
      </x:c>
      <x:c r="J285" s="12" t="str">
        <x:f>'Weekly Projections'!AZ335</x:f>
        <x:v>High</x:v>
      </x:c>
      <x:c r="K285" s="12" t="n">
        <x:f>'Weekly Projections'!BA335</x:f>
        <x:v>3</x:v>
      </x:c>
      <x:c r="L285" s="12" t="n">
        <x:f>'Weekly Projections'!BC335</x:f>
        <x:v>23</x:v>
      </x:c>
      <x:c r="M285" s="12" t="str">
        <x:f>'Weekly Projections'!BD335</x:f>
        <x:v>→</x:v>
      </x:c>
    </x:row>
    <x:row r="286">
      <x:c r="A286" s="14" t="n">
        <x:f>'Weekly Projections'!BB336</x:f>
        <x:v>24</x:v>
      </x:c>
      <x:c r="B286" s="12" t="str">
        <x:f>'Weekly Projections'!A336</x:f>
        <x:v>Tennessee Titans</x:v>
      </x:c>
      <x:c r="C286" s="12" t="str">
        <x:f>'Weekly Projections'!B336</x:f>
        <x:v>TEN</x:v>
      </x:c>
      <x:c r="D286" s="12" t="str">
        <x:f>'Weekly Projections'!C336</x:f>
        <x:v>DST</x:v>
      </x:c>
      <x:c r="E286" s="12" t="str">
        <x:f>'Weekly Projections'!D336</x:f>
        <x:v>NYG</x:v>
      </x:c>
      <x:c r="F286" s="13" t="n">
        <x:f>'Weekly Projections'!AW336</x:f>
        <x:v>6.82272</x:v>
      </x:c>
      <x:c r="G286" s="13" t="n">
        <x:f>'Weekly Projections'!AX336</x:f>
        <x:v>2.7290880000000004</x:v>
      </x:c>
      <x:c r="H286" s="13" t="n">
        <x:f>'Weekly Projections'!AY336</x:f>
        <x:v>11.257488</x:v>
      </x:c>
      <x:c r="I286" s="12" t="str">
        <x:f>'Weekly Projections'!H336</x:f>
        <x:v>ACTIVE</x:v>
      </x:c>
      <x:c r="J286" s="12" t="str">
        <x:f>'Weekly Projections'!AZ336</x:f>
        <x:v>High</x:v>
      </x:c>
      <x:c r="K286" s="12" t="n">
        <x:f>'Weekly Projections'!BA336</x:f>
        <x:v>3</x:v>
      </x:c>
      <x:c r="L286" s="12" t="n">
        <x:f>'Weekly Projections'!BC336</x:f>
        <x:v>24</x:v>
      </x:c>
      <x:c r="M286" s="12" t="str">
        <x:f>'Weekly Projections'!BD336</x:f>
        <x:v>→</x:v>
      </x:c>
    </x:row>
    <x:row r="287">
      <x:c r="A287" s="14" t="n">
        <x:f>'Weekly Projections'!BB337</x:f>
        <x:v>25</x:v>
      </x:c>
      <x:c r="B287" s="12" t="str">
        <x:f>'Weekly Projections'!A337</x:f>
        <x:v>Atlanta Falcons</x:v>
      </x:c>
      <x:c r="C287" s="12" t="str">
        <x:f>'Weekly Projections'!B337</x:f>
        <x:v>ATL</x:v>
      </x:c>
      <x:c r="D287" s="12" t="str">
        <x:f>'Weekly Projections'!C337</x:f>
        <x:v>DST</x:v>
      </x:c>
      <x:c r="E287" s="12" t="str">
        <x:f>'Weekly Projections'!D337</x:f>
        <x:v>GB</x:v>
      </x:c>
      <x:c r="F287" s="13" t="n">
        <x:f>'Weekly Projections'!AW337</x:f>
        <x:v>6.7977599999999985</x:v>
      </x:c>
      <x:c r="G287" s="13" t="n">
        <x:f>'Weekly Projections'!AX337</x:f>
        <x:v>2.7191039999999997</x:v>
      </x:c>
      <x:c r="H287" s="13" t="n">
        <x:f>'Weekly Projections'!AY337</x:f>
        <x:v>11.216303999999997</x:v>
      </x:c>
      <x:c r="I287" s="12" t="str">
        <x:f>'Weekly Projections'!H337</x:f>
        <x:v>ACTIVE</x:v>
      </x:c>
      <x:c r="J287" s="12" t="str">
        <x:f>'Weekly Projections'!AZ337</x:f>
        <x:v>High</x:v>
      </x:c>
      <x:c r="K287" s="12" t="n">
        <x:f>'Weekly Projections'!BA337</x:f>
        <x:v>4</x:v>
      </x:c>
      <x:c r="L287" s="12" t="n">
        <x:f>'Weekly Projections'!BC337</x:f>
        <x:v>25</x:v>
      </x:c>
      <x:c r="M287" s="12" t="str">
        <x:f>'Weekly Projections'!BD337</x:f>
        <x:v>→</x:v>
      </x:c>
    </x:row>
    <x:row r="288">
      <x:c r="A288" s="14" t="n">
        <x:f>'Weekly Projections'!BB338</x:f>
        <x:v>26</x:v>
      </x:c>
      <x:c r="B288" s="12" t="str">
        <x:f>'Weekly Projections'!A338</x:f>
        <x:v>Las Vegas Raiders</x:v>
      </x:c>
      <x:c r="C288" s="12" t="str">
        <x:f>'Weekly Projections'!B338</x:f>
        <x:v>LV</x:v>
      </x:c>
      <x:c r="D288" s="12" t="str">
        <x:f>'Weekly Projections'!C338</x:f>
        <x:v>DST</x:v>
      </x:c>
      <x:c r="E288" s="12" t="str">
        <x:f>'Weekly Projections'!D338</x:f>
        <x:v>NO</x:v>
      </x:c>
      <x:c r="F288" s="13" t="n">
        <x:f>'Weekly Projections'!AW338</x:f>
        <x:v>6.697320000000001</x:v>
      </x:c>
      <x:c r="G288" s="13" t="n">
        <x:f>'Weekly Projections'!AX338</x:f>
        <x:v>2.678928000000001</x:v>
      </x:c>
      <x:c r="H288" s="13" t="n">
        <x:f>'Weekly Projections'!AY338</x:f>
        <x:v>11.050578000000002</x:v>
      </x:c>
      <x:c r="I288" s="12" t="str">
        <x:f>'Weekly Projections'!H338</x:f>
        <x:v>ACTIVE</x:v>
      </x:c>
      <x:c r="J288" s="12" t="str">
        <x:f>'Weekly Projections'!AZ338</x:f>
        <x:v>High</x:v>
      </x:c>
      <x:c r="K288" s="12" t="n">
        <x:f>'Weekly Projections'!BA338</x:f>
        <x:v>4</x:v>
      </x:c>
      <x:c r="L288" s="12" t="n">
        <x:f>'Weekly Projections'!BC338</x:f>
        <x:v>26</x:v>
      </x:c>
      <x:c r="M288" s="12" t="str">
        <x:f>'Weekly Projections'!BD338</x:f>
        <x:v>→</x:v>
      </x:c>
    </x:row>
    <x:row r="289">
      <x:c r="A289" s="14" t="n">
        <x:f>'Weekly Projections'!BB339</x:f>
        <x:v>27</x:v>
      </x:c>
      <x:c r="B289" s="12" t="str">
        <x:f>'Weekly Projections'!A339</x:f>
        <x:v>Chicago Bears</x:v>
      </x:c>
      <x:c r="C289" s="12" t="str">
        <x:f>'Weekly Projections'!B339</x:f>
        <x:v>CHI</x:v>
      </x:c>
      <x:c r="D289" s="12" t="str">
        <x:f>'Weekly Projections'!C339</x:f>
        <x:v>DST</x:v>
      </x:c>
      <x:c r="E289" s="12" t="str">
        <x:f>'Weekly Projections'!D339</x:f>
        <x:v>PHI</x:v>
      </x:c>
      <x:c r="F289" s="13" t="n">
        <x:f>'Weekly Projections'!AW339</x:f>
        <x:v>6.677760000000001</x:v>
      </x:c>
      <x:c r="G289" s="13" t="n">
        <x:f>'Weekly Projections'!AX339</x:f>
        <x:v>2.6711040000000006</x:v>
      </x:c>
      <x:c r="H289" s="13" t="n">
        <x:f>'Weekly Projections'!AY339</x:f>
        <x:v>11.018304</x:v>
      </x:c>
      <x:c r="I289" s="12" t="str">
        <x:f>'Weekly Projections'!H339</x:f>
        <x:v>ACTIVE</x:v>
      </x:c>
      <x:c r="J289" s="12" t="str">
        <x:f>'Weekly Projections'!AZ339</x:f>
        <x:v>High</x:v>
      </x:c>
      <x:c r="K289" s="12" t="n">
        <x:f>'Weekly Projections'!BA339</x:f>
        <x:v>4</x:v>
      </x:c>
      <x:c r="L289" s="12" t="n">
        <x:f>'Weekly Projections'!BC339</x:f>
        <x:v>27</x:v>
      </x:c>
      <x:c r="M289" s="12" t="str">
        <x:f>'Weekly Projections'!BD339</x:f>
        <x:v>→</x:v>
      </x:c>
    </x:row>
    <x:row r="290">
      <x:c r="A290" s="14" t="n">
        <x:f>'Weekly Projections'!BB340</x:f>
        <x:v>28</x:v>
      </x:c>
      <x:c r="B290" s="12" t="str">
        <x:f>'Weekly Projections'!A340</x:f>
        <x:v>New York Jets</x:v>
      </x:c>
      <x:c r="C290" s="12" t="str">
        <x:f>'Weekly Projections'!B340</x:f>
        <x:v>NYJ</x:v>
      </x:c>
      <x:c r="D290" s="12" t="str">
        <x:f>'Weekly Projections'!C340</x:f>
        <x:v>DST</x:v>
      </x:c>
      <x:c r="E290" s="12" t="str">
        <x:f>'Weekly Projections'!D340</x:f>
        <x:v>DET</x:v>
      </x:c>
      <x:c r="F290" s="13" t="n">
        <x:f>'Weekly Projections'!AW340</x:f>
        <x:v>6.658079999999998</x:v>
      </x:c>
      <x:c r="G290" s="13" t="n">
        <x:f>'Weekly Projections'!AX340</x:f>
        <x:v>2.6632319999999994</x:v>
      </x:c>
      <x:c r="H290" s="13" t="n">
        <x:f>'Weekly Projections'!AY340</x:f>
        <x:v>10.985831999999997</x:v>
      </x:c>
      <x:c r="I290" s="12" t="str">
        <x:f>'Weekly Projections'!H340</x:f>
        <x:v>ACTIVE</x:v>
      </x:c>
      <x:c r="J290" s="12" t="str">
        <x:f>'Weekly Projections'!AZ340</x:f>
        <x:v>High</x:v>
      </x:c>
      <x:c r="K290" s="12" t="n">
        <x:f>'Weekly Projections'!BA340</x:f>
        <x:v>4</x:v>
      </x:c>
      <x:c r="L290" s="12" t="n">
        <x:f>'Weekly Projections'!BC340</x:f>
        <x:v>28</x:v>
      </x:c>
      <x:c r="M290" s="12" t="str">
        <x:f>'Weekly Projections'!BD340</x:f>
        <x:v>→</x:v>
      </x:c>
    </x:row>
    <x:row r="291">
      <x:c r="A291" s="14" t="n">
        <x:f>'Weekly Projections'!BB341</x:f>
        <x:v>29</x:v>
      </x:c>
      <x:c r="B291" s="12" t="str">
        <x:f>'Weekly Projections'!A341</x:f>
        <x:v>Carolina Panthers</x:v>
      </x:c>
      <x:c r="C291" s="12" t="str">
        <x:f>'Weekly Projections'!B341</x:f>
        <x:v>CAR</x:v>
      </x:c>
      <x:c r="D291" s="12" t="str">
        <x:f>'Weekly Projections'!C341</x:f>
        <x:v>DST</x:v>
      </x:c>
      <x:c r="E291" s="12" t="str">
        <x:f>'Weekly Projections'!D341</x:f>
        <x:v>CLE</x:v>
      </x:c>
      <x:c r="F291" s="13" t="n">
        <x:f>'Weekly Projections'!AW341</x:f>
        <x:v>6.610099999999999</x:v>
      </x:c>
      <x:c r="G291" s="13" t="n">
        <x:f>'Weekly Projections'!AX341</x:f>
        <x:v>2.64404</x:v>
      </x:c>
      <x:c r="H291" s="13" t="n">
        <x:f>'Weekly Projections'!AY341</x:f>
        <x:v>10.906664999999998</x:v>
      </x:c>
      <x:c r="I291" s="12" t="str">
        <x:f>'Weekly Projections'!H341</x:f>
        <x:v>ACTIVE</x:v>
      </x:c>
      <x:c r="J291" s="12" t="str">
        <x:f>'Weekly Projections'!AZ341</x:f>
        <x:v>High</x:v>
      </x:c>
      <x:c r="K291" s="12" t="n">
        <x:f>'Weekly Projections'!BA341</x:f>
        <x:v>4</x:v>
      </x:c>
      <x:c r="L291" s="12" t="n">
        <x:f>'Weekly Projections'!BC341</x:f>
        <x:v>29</x:v>
      </x:c>
      <x:c r="M291" s="12" t="str">
        <x:f>'Weekly Projections'!BD341</x:f>
        <x:v>→</x:v>
      </x:c>
    </x:row>
    <x:row r="292">
      <x:c r="A292" s="14" t="n">
        <x:f>'Weekly Projections'!BB342</x:f>
        <x:v>30</x:v>
      </x:c>
      <x:c r="B292" s="12" t="str">
        <x:f>'Weekly Projections'!A342</x:f>
        <x:v>Washington Commanders</x:v>
      </x:c>
      <x:c r="C292" s="12" t="str">
        <x:f>'Weekly Projections'!B342</x:f>
        <x:v>WAS</x:v>
      </x:c>
      <x:c r="D292" s="12" t="str">
        <x:f>'Weekly Projections'!C342</x:f>
        <x:v>DST</x:v>
      </x:c>
      <x:c r="E292" s="12" t="str">
        <x:f>'Weekly Projections'!D342</x:f>
        <x:v>SEA</x:v>
      </x:c>
      <x:c r="F292" s="13" t="n">
        <x:f>'Weekly Projections'!AW342</x:f>
        <x:v>6.464079999999999</x:v>
      </x:c>
      <x:c r="G292" s="13" t="n">
        <x:f>'Weekly Projections'!AX342</x:f>
        <x:v>2.585632</x:v>
      </x:c>
      <x:c r="H292" s="13" t="n">
        <x:f>'Weekly Projections'!AY342</x:f>
        <x:v>10.665731999999998</x:v>
      </x:c>
      <x:c r="I292" s="12" t="str">
        <x:f>'Weekly Projections'!H342</x:f>
        <x:v>ACTIVE</x:v>
      </x:c>
      <x:c r="J292" s="12" t="str">
        <x:f>'Weekly Projections'!AZ342</x:f>
        <x:v>High</x:v>
      </x:c>
      <x:c r="K292" s="12" t="n">
        <x:f>'Weekly Projections'!BA342</x:f>
        <x:v>4</x:v>
      </x:c>
      <x:c r="L292" s="12" t="n">
        <x:f>'Weekly Projections'!BC342</x:f>
        <x:v>30</x:v>
      </x:c>
      <x:c r="M292" s="12" t="str">
        <x:f>'Weekly Projections'!BD342</x:f>
        <x:v>→</x:v>
      </x:c>
    </x:row>
    <x:row r="293">
      <x:c r="A293" s="14" t="n">
        <x:f>'Weekly Projections'!BB343</x:f>
        <x:v>31</x:v>
      </x:c>
      <x:c r="B293" s="12" t="str">
        <x:f>'Weekly Projections'!A343</x:f>
        <x:v>Miami Dolphins</x:v>
      </x:c>
      <x:c r="C293" s="12" t="str">
        <x:f>'Weekly Projections'!B343</x:f>
        <x:v>MIA</x:v>
      </x:c>
      <x:c r="D293" s="12" t="str">
        <x:f>'Weekly Projections'!C343</x:f>
        <x:v>DST</x:v>
      </x:c>
      <x:c r="E293" s="12" t="str">
        <x:f>'Weekly Projections'!D343</x:f>
        <x:v>KC</x:v>
      </x:c>
      <x:c r="F293" s="13" t="n">
        <x:f>'Weekly Projections'!AW343</x:f>
        <x:v>6.2662</x:v>
      </x:c>
      <x:c r="G293" s="13" t="n">
        <x:f>'Weekly Projections'!AX343</x:f>
        <x:v>2.5064800000000003</x:v>
      </x:c>
      <x:c r="H293" s="13" t="n">
        <x:f>'Weekly Projections'!AY343</x:f>
        <x:v>10.33923</x:v>
      </x:c>
      <x:c r="I293" s="12" t="str">
        <x:f>'Weekly Projections'!H343</x:f>
        <x:v>ACTIVE</x:v>
      </x:c>
      <x:c r="J293" s="12" t="str">
        <x:f>'Weekly Projections'!AZ343</x:f>
        <x:v>High</x:v>
      </x:c>
      <x:c r="K293" s="12" t="n">
        <x:f>'Weekly Projections'!BA343</x:f>
        <x:v>4</x:v>
      </x:c>
      <x:c r="L293" s="12" t="n">
        <x:f>'Weekly Projections'!BC343</x:f>
        <x:v>31</x:v>
      </x:c>
      <x:c r="M293" s="12" t="str">
        <x:f>'Weekly Projections'!BD343</x:f>
        <x:v>→</x:v>
      </x:c>
    </x:row>
    <x:row r="294">
      <x:c r="A294" s="14" t="n">
        <x:f>'Weekly Projections'!BB344</x:f>
        <x:v>32</x:v>
      </x:c>
      <x:c r="B294" s="12" t="str">
        <x:f>'Weekly Projections'!A344</x:f>
        <x:v>Arizona Cardinals</x:v>
      </x:c>
      <x:c r="C294" s="12" t="str">
        <x:f>'Weekly Projections'!B344</x:f>
        <x:v>ARI</x:v>
      </x:c>
      <x:c r="D294" s="12" t="str">
        <x:f>'Weekly Projections'!C344</x:f>
        <x:v>DST</x:v>
      </x:c>
      <x:c r="E294" s="12" t="str">
        <x:f>'Weekly Projections'!D344</x:f>
        <x:v>SF</x:v>
      </x:c>
      <x:c r="F294" s="13" t="n">
        <x:f>'Weekly Projections'!AW344</x:f>
        <x:v>6.109999999999999</x:v>
      </x:c>
      <x:c r="G294" s="13" t="n">
        <x:f>'Weekly Projections'!AX344</x:f>
        <x:v>2.444</x:v>
      </x:c>
      <x:c r="H294" s="13" t="n">
        <x:f>'Weekly Projections'!AY344</x:f>
        <x:v>10.081499999999998</x:v>
      </x:c>
      <x:c r="I294" s="12" t="str">
        <x:f>'Weekly Projections'!H344</x:f>
        <x:v>ACTIVE</x:v>
      </x:c>
      <x:c r="J294" s="12" t="str">
        <x:f>'Weekly Projections'!AZ344</x:f>
        <x:v>High</x:v>
      </x:c>
      <x:c r="K294" s="12" t="n">
        <x:f>'Weekly Projections'!BA344</x:f>
        <x:v>4</x:v>
      </x:c>
      <x:c r="L294" s="12" t="n">
        <x:f>'Weekly Projections'!BC344</x:f>
        <x:v>32</x:v>
      </x:c>
      <x:c r="M294" s="12" t="str">
        <x:f>'Weekly Projections'!BD344</x:f>
        <x:v>→</x:v>
      </x:c>
    </x:row>
    <x:row r="295">
      <x:c r="A295" s="14" t="n">
        <x:f>'Weekly Projections'!BB279</x:f>
        <x:v>1</x:v>
      </x:c>
      <x:c r="B295" s="12" t="str">
        <x:f>'Weekly Projections'!A279</x:f>
        <x:v>Tyler Loop</x:v>
      </x:c>
      <x:c r="C295" s="12" t="str">
        <x:f>'Weekly Projections'!B279</x:f>
        <x:v>BAL</x:v>
      </x:c>
      <x:c r="D295" s="12" t="str">
        <x:f>'Weekly Projections'!C279</x:f>
        <x:v>K</x:v>
      </x:c>
      <x:c r="E295" s="12" t="str">
        <x:f>'Weekly Projections'!D279</x:f>
        <x:v>DAL</x:v>
      </x:c>
      <x:c r="F295" s="13" t="n">
        <x:f>'Weekly Projections'!AW279</x:f>
        <x:v>9.718800000000002</x:v>
      </x:c>
      <x:c r="G295" s="13" t="n">
        <x:f>'Weekly Projections'!AX279</x:f>
        <x:v>5.345340000000001</x:v>
      </x:c>
      <x:c r="H295" s="13" t="n">
        <x:f>'Weekly Projections'!AY279</x:f>
        <x:v>14.092260000000001</x:v>
      </x:c>
      <x:c r="I295" s="12" t="str">
        <x:f>'Weekly Projections'!H279</x:f>
        <x:v>ACTIVE</x:v>
      </x:c>
      <x:c r="J295" s="12" t="str">
        <x:f>'Weekly Projections'!AZ279</x:f>
        <x:v>High</x:v>
      </x:c>
      <x:c r="K295" s="12" t="n">
        <x:f>'Weekly Projections'!BA279</x:f>
        <x:v>1</x:v>
      </x:c>
      <x:c r="L295" s="12" t="n">
        <x:f>'Weekly Projections'!BC279</x:f>
        <x:v>1</x:v>
      </x:c>
      <x:c r="M295" s="12" t="str">
        <x:f>'Weekly Projections'!BD279</x:f>
        <x:v>→</x:v>
      </x:c>
    </x:row>
    <x:row r="296">
      <x:c r="A296" s="14" t="n">
        <x:f>'Weekly Projections'!BB280</x:f>
        <x:v>2</x:v>
      </x:c>
      <x:c r="B296" s="12" t="str">
        <x:f>'Weekly Projections'!A280</x:f>
        <x:v>Ka'imi Fairbairn</x:v>
      </x:c>
      <x:c r="C296" s="12" t="str">
        <x:f>'Weekly Projections'!B280</x:f>
        <x:v>HOU</x:v>
      </x:c>
      <x:c r="D296" s="12" t="str">
        <x:f>'Weekly Projections'!C280</x:f>
        <x:v>K</x:v>
      </x:c>
      <x:c r="E296" s="12" t="str">
        <x:f>'Weekly Projections'!D280</x:f>
        <x:v>IND</x:v>
      </x:c>
      <x:c r="F296" s="13" t="n">
        <x:f>'Weekly Projections'!AW280</x:f>
        <x:v>9.48321</x:v>
      </x:c>
      <x:c r="G296" s="13" t="n">
        <x:f>'Weekly Projections'!AX280</x:f>
        <x:v>5.2157655</x:v>
      </x:c>
      <x:c r="H296" s="13" t="n">
        <x:f>'Weekly Projections'!AY280</x:f>
        <x:v>13.7506545</x:v>
      </x:c>
      <x:c r="I296" s="12" t="str">
        <x:f>'Weekly Projections'!H280</x:f>
        <x:v>ACTIVE</x:v>
      </x:c>
      <x:c r="J296" s="12" t="str">
        <x:f>'Weekly Projections'!AZ280</x:f>
        <x:v>High</x:v>
      </x:c>
      <x:c r="K296" s="12" t="n">
        <x:f>'Weekly Projections'!BA280</x:f>
        <x:v>1</x:v>
      </x:c>
      <x:c r="L296" s="12" t="n">
        <x:f>'Weekly Projections'!BC280</x:f>
        <x:v>2</x:v>
      </x:c>
      <x:c r="M296" s="12" t="str">
        <x:f>'Weekly Projections'!BD280</x:f>
        <x:v>→</x:v>
      </x:c>
    </x:row>
    <x:row r="297">
      <x:c r="A297" s="14" t="n">
        <x:f>'Weekly Projections'!BB281</x:f>
        <x:v>3</x:v>
      </x:c>
      <x:c r="B297" s="12" t="str">
        <x:f>'Weekly Projections'!A281</x:f>
        <x:v>Jason Myers</x:v>
      </x:c>
      <x:c r="C297" s="12" t="str">
        <x:f>'Weekly Projections'!B281</x:f>
        <x:v>SEA</x:v>
      </x:c>
      <x:c r="D297" s="12" t="str">
        <x:f>'Weekly Projections'!C281</x:f>
        <x:v>K</x:v>
      </x:c>
      <x:c r="E297" s="12" t="str">
        <x:f>'Weekly Projections'!D281</x:f>
        <x:v>WAS</x:v>
      </x:c>
      <x:c r="F297" s="13" t="n">
        <x:f>'Weekly Projections'!AW281</x:f>
        <x:v>9.475999999999999</x:v>
      </x:c>
      <x:c r="G297" s="13" t="n">
        <x:f>'Weekly Projections'!AX281</x:f>
        <x:v>5.2118</x:v>
      </x:c>
      <x:c r="H297" s="13" t="n">
        <x:f>'Weekly Projections'!AY281</x:f>
        <x:v>13.740199999999998</x:v>
      </x:c>
      <x:c r="I297" s="12" t="str">
        <x:f>'Weekly Projections'!H281</x:f>
        <x:v>ACTIVE</x:v>
      </x:c>
      <x:c r="J297" s="12" t="str">
        <x:f>'Weekly Projections'!AZ281</x:f>
        <x:v>High</x:v>
      </x:c>
      <x:c r="K297" s="12" t="n">
        <x:f>'Weekly Projections'!BA281</x:f>
        <x:v>1</x:v>
      </x:c>
      <x:c r="L297" s="12" t="n">
        <x:f>'Weekly Projections'!BC281</x:f>
        <x:v>3</x:v>
      </x:c>
      <x:c r="M297" s="12" t="str">
        <x:f>'Weekly Projections'!BD281</x:f>
        <x:v>→</x:v>
      </x:c>
    </x:row>
    <x:row r="298">
      <x:c r="A298" s="14" t="n">
        <x:f>'Weekly Projections'!BB282</x:f>
        <x:v>4</x:v>
      </x:c>
      <x:c r="B298" s="12" t="str">
        <x:f>'Weekly Projections'!A282</x:f>
        <x:v>Harrison Butker</x:v>
      </x:c>
      <x:c r="C298" s="12" t="str">
        <x:f>'Weekly Projections'!B282</x:f>
        <x:v>KC</x:v>
      </x:c>
      <x:c r="D298" s="12" t="str">
        <x:f>'Weekly Projections'!C282</x:f>
        <x:v>K</x:v>
      </x:c>
      <x:c r="E298" s="12" t="str">
        <x:f>'Weekly Projections'!D282</x:f>
        <x:v>MIA</x:v>
      </x:c>
      <x:c r="F298" s="13" t="n">
        <x:f>'Weekly Projections'!AW282</x:f>
        <x:v>9.33592</x:v>
      </x:c>
      <x:c r="G298" s="13" t="n">
        <x:f>'Weekly Projections'!AX282</x:f>
        <x:v>5.134756</x:v>
      </x:c>
      <x:c r="H298" s="13" t="n">
        <x:f>'Weekly Projections'!AY282</x:f>
        <x:v>13.537084</x:v>
      </x:c>
      <x:c r="I298" s="12" t="str">
        <x:f>'Weekly Projections'!H282</x:f>
        <x:v>ACTIVE</x:v>
      </x:c>
      <x:c r="J298" s="12" t="str">
        <x:f>'Weekly Projections'!AZ282</x:f>
        <x:v>High</x:v>
      </x:c>
      <x:c r="K298" s="12" t="n">
        <x:f>'Weekly Projections'!BA282</x:f>
        <x:v>1</x:v>
      </x:c>
      <x:c r="L298" s="12" t="n">
        <x:f>'Weekly Projections'!BC282</x:f>
        <x:v>4</x:v>
      </x:c>
      <x:c r="M298" s="12" t="str">
        <x:f>'Weekly Projections'!BD282</x:f>
        <x:v>→</x:v>
      </x:c>
    </x:row>
    <x:row r="299">
      <x:c r="A299" s="14" t="n">
        <x:f>'Weekly Projections'!BB283</x:f>
        <x:v>5</x:v>
      </x:c>
      <x:c r="B299" s="12" t="str">
        <x:f>'Weekly Projections'!A283</x:f>
        <x:v>Jake Bates</x:v>
      </x:c>
      <x:c r="C299" s="12" t="str">
        <x:f>'Weekly Projections'!B283</x:f>
        <x:v>DET</x:v>
      </x:c>
      <x:c r="D299" s="12" t="str">
        <x:f>'Weekly Projections'!C283</x:f>
        <x:v>K</x:v>
      </x:c>
      <x:c r="E299" s="12" t="str">
        <x:f>'Weekly Projections'!D283</x:f>
        <x:v>NYJ</x:v>
      </x:c>
      <x:c r="F299" s="13" t="n">
        <x:f>'Weekly Projections'!AW283</x:f>
        <x:v>9.33592</x:v>
      </x:c>
      <x:c r="G299" s="13" t="n">
        <x:f>'Weekly Projections'!AX283</x:f>
        <x:v>5.134756</x:v>
      </x:c>
      <x:c r="H299" s="13" t="n">
        <x:f>'Weekly Projections'!AY283</x:f>
        <x:v>13.537084</x:v>
      </x:c>
      <x:c r="I299" s="12" t="str">
        <x:f>'Weekly Projections'!H283</x:f>
        <x:v>ACTIVE</x:v>
      </x:c>
      <x:c r="J299" s="12" t="str">
        <x:f>'Weekly Projections'!AZ283</x:f>
        <x:v>High</x:v>
      </x:c>
      <x:c r="K299" s="12" t="n">
        <x:f>'Weekly Projections'!BA283</x:f>
        <x:v>1</x:v>
      </x:c>
      <x:c r="L299" s="12" t="n">
        <x:f>'Weekly Projections'!BC283</x:f>
        <x:v>5</x:v>
      </x:c>
      <x:c r="M299" s="12" t="str">
        <x:f>'Weekly Projections'!BD283</x:f>
        <x:v>→</x:v>
      </x:c>
    </x:row>
    <x:row r="300">
      <x:c r="A300" s="14" t="n">
        <x:f>'Weekly Projections'!BB284</x:f>
        <x:v>6</x:v>
      </x:c>
      <x:c r="B300" s="12" t="str">
        <x:f>'Weekly Projections'!A284</x:f>
        <x:v>Cameron Dicker</x:v>
      </x:c>
      <x:c r="C300" s="12" t="str">
        <x:f>'Weekly Projections'!B284</x:f>
        <x:v>LAC</x:v>
      </x:c>
      <x:c r="D300" s="12" t="str">
        <x:f>'Weekly Projections'!C284</x:f>
        <x:v>K</x:v>
      </x:c>
      <x:c r="E300" s="12" t="str">
        <x:f>'Weekly Projections'!D284</x:f>
        <x:v>BUF</x:v>
      </x:c>
      <x:c r="F300" s="13" t="n">
        <x:f>'Weekly Projections'!AW284</x:f>
        <x:v>9.017280000000001</x:v>
      </x:c>
      <x:c r="G300" s="13" t="n">
        <x:f>'Weekly Projections'!AX284</x:f>
        <x:v>4.959504000000001</x:v>
      </x:c>
      <x:c r="H300" s="13" t="n">
        <x:f>'Weekly Projections'!AY284</x:f>
        <x:v>13.075056000000002</x:v>
      </x:c>
      <x:c r="I300" s="12" t="str">
        <x:f>'Weekly Projections'!H284</x:f>
        <x:v>ACTIVE</x:v>
      </x:c>
      <x:c r="J300" s="12" t="str">
        <x:f>'Weekly Projections'!AZ284</x:f>
        <x:v>High</x:v>
      </x:c>
      <x:c r="K300" s="12" t="n">
        <x:f>'Weekly Projections'!BA284</x:f>
        <x:v>1</x:v>
      </x:c>
      <x:c r="L300" s="12" t="n">
        <x:f>'Weekly Projections'!BC284</x:f>
        <x:v>6</x:v>
      </x:c>
      <x:c r="M300" s="12" t="str">
        <x:f>'Weekly Projections'!BD284</x:f>
        <x:v>→</x:v>
      </x:c>
    </x:row>
    <x:row r="301">
      <x:c r="A301" s="14" t="n">
        <x:f>'Weekly Projections'!BB285</x:f>
        <x:v>7</x:v>
      </x:c>
      <x:c r="B301" s="12" t="str">
        <x:f>'Weekly Projections'!A285</x:f>
        <x:v>Cam Little</x:v>
      </x:c>
      <x:c r="C301" s="12" t="str">
        <x:f>'Weekly Projections'!B285</x:f>
        <x:v>JAC</x:v>
      </x:c>
      <x:c r="D301" s="12" t="str">
        <x:f>'Weekly Projections'!C285</x:f>
        <x:v>K</x:v>
      </x:c>
      <x:c r="E301" s="12" t="str">
        <x:f>'Weekly Projections'!D285</x:f>
        <x:v>NE</x:v>
      </x:c>
      <x:c r="F301" s="13" t="n">
        <x:f>'Weekly Projections'!AW285</x:f>
        <x:v>9.008999999999999</x:v>
      </x:c>
      <x:c r="G301" s="13" t="n">
        <x:f>'Weekly Projections'!AX285</x:f>
        <x:v>4.954949999999999</x:v>
      </x:c>
      <x:c r="H301" s="13" t="n">
        <x:f>'Weekly Projections'!AY285</x:f>
        <x:v>13.063049999999997</x:v>
      </x:c>
      <x:c r="I301" s="12" t="str">
        <x:f>'Weekly Projections'!H285</x:f>
        <x:v>ACTIVE</x:v>
      </x:c>
      <x:c r="J301" s="12" t="str">
        <x:f>'Weekly Projections'!AZ285</x:f>
        <x:v>High</x:v>
      </x:c>
      <x:c r="K301" s="12" t="n">
        <x:f>'Weekly Projections'!BA285</x:f>
        <x:v>1</x:v>
      </x:c>
      <x:c r="L301" s="12" t="n">
        <x:f>'Weekly Projections'!BC285</x:f>
        <x:v>7</x:v>
      </x:c>
      <x:c r="M301" s="12" t="str">
        <x:f>'Weekly Projections'!BD285</x:f>
        <x:v>→</x:v>
      </x:c>
    </x:row>
    <x:row r="302">
      <x:c r="A302" s="14" t="n">
        <x:f>'Weekly Projections'!BB286</x:f>
        <x:v>8</x:v>
      </x:c>
      <x:c r="B302" s="12" t="str">
        <x:f>'Weekly Projections'!A286</x:f>
        <x:v>Chris Boswell</x:v>
      </x:c>
      <x:c r="C302" s="12" t="str">
        <x:f>'Weekly Projections'!B286</x:f>
        <x:v>PIT</x:v>
      </x:c>
      <x:c r="D302" s="12" t="str">
        <x:f>'Weekly Projections'!C286</x:f>
        <x:v>K</x:v>
      </x:c>
      <x:c r="E302" s="12" t="str">
        <x:f>'Weekly Projections'!D286</x:f>
        <x:v>CIN</x:v>
      </x:c>
      <x:c r="F302" s="13" t="n">
        <x:f>'Weekly Projections'!AW286</x:f>
        <x:v>8.91</x:v>
      </x:c>
      <x:c r="G302" s="13" t="n">
        <x:f>'Weekly Projections'!AX286</x:f>
        <x:v>4.9005</x:v>
      </x:c>
      <x:c r="H302" s="13" t="n">
        <x:f>'Weekly Projections'!AY286</x:f>
        <x:v>12.9195</x:v>
      </x:c>
      <x:c r="I302" s="12" t="str">
        <x:f>'Weekly Projections'!H286</x:f>
        <x:v>ACTIVE</x:v>
      </x:c>
      <x:c r="J302" s="12" t="str">
        <x:f>'Weekly Projections'!AZ286</x:f>
        <x:v>High</x:v>
      </x:c>
      <x:c r="K302" s="12" t="n">
        <x:f>'Weekly Projections'!BA286</x:f>
        <x:v>1</x:v>
      </x:c>
      <x:c r="L302" s="12" t="n">
        <x:f>'Weekly Projections'!BC286</x:f>
        <x:v>8</x:v>
      </x:c>
      <x:c r="M302" s="12" t="str">
        <x:f>'Weekly Projections'!BD286</x:f>
        <x:v>→</x:v>
      </x:c>
    </x:row>
    <x:row r="303">
      <x:c r="A303" s="14" t="n">
        <x:f>'Weekly Projections'!BB287</x:f>
        <x:v>9</x:v>
      </x:c>
      <x:c r="B303" s="12" t="str">
        <x:f>'Weekly Projections'!A287</x:f>
        <x:v>Brandon Aubrey</x:v>
      </x:c>
      <x:c r="C303" s="12" t="str">
        <x:f>'Weekly Projections'!B287</x:f>
        <x:v>DAL</x:v>
      </x:c>
      <x:c r="D303" s="12" t="str">
        <x:f>'Weekly Projections'!C287</x:f>
        <x:v>K</x:v>
      </x:c>
      <x:c r="E303" s="12" t="str">
        <x:f>'Weekly Projections'!D287</x:f>
        <x:v>BAL</x:v>
      </x:c>
      <x:c r="F303" s="13" t="n">
        <x:f>'Weekly Projections'!AW287</x:f>
        <x:v>8.835999999999999</x:v>
      </x:c>
      <x:c r="G303" s="13" t="n">
        <x:f>'Weekly Projections'!AX287</x:f>
        <x:v>4.8598</x:v>
      </x:c>
      <x:c r="H303" s="13" t="n">
        <x:f>'Weekly Projections'!AY287</x:f>
        <x:v>12.812199999999997</x:v>
      </x:c>
      <x:c r="I303" s="12" t="str">
        <x:f>'Weekly Projections'!H287</x:f>
        <x:v>ACTIVE</x:v>
      </x:c>
      <x:c r="J303" s="12" t="str">
        <x:f>'Weekly Projections'!AZ287</x:f>
        <x:v>High</x:v>
      </x:c>
      <x:c r="K303" s="12" t="n">
        <x:f>'Weekly Projections'!BA287</x:f>
        <x:v>2</x:v>
      </x:c>
      <x:c r="L303" s="12" t="n">
        <x:f>'Weekly Projections'!BC287</x:f>
        <x:v>9</x:v>
      </x:c>
      <x:c r="M303" s="12" t="str">
        <x:f>'Weekly Projections'!BD287</x:f>
        <x:v>→</x:v>
      </x:c>
    </x:row>
    <x:row r="304">
      <x:c r="A304" s="14" t="n">
        <x:f>'Weekly Projections'!BB288</x:f>
        <x:v>10</x:v>
      </x:c>
      <x:c r="B304" s="12" t="str">
        <x:f>'Weekly Projections'!A288</x:f>
        <x:v>Eddy Pineiro</x:v>
      </x:c>
      <x:c r="C304" s="12" t="str">
        <x:f>'Weekly Projections'!B288</x:f>
        <x:v>SF</x:v>
      </x:c>
      <x:c r="D304" s="12" t="str">
        <x:f>'Weekly Projections'!C288</x:f>
        <x:v>K</x:v>
      </x:c>
      <x:c r="E304" s="12" t="str">
        <x:f>'Weekly Projections'!D288</x:f>
        <x:v>ARI</x:v>
      </x:c>
      <x:c r="F304" s="13" t="n">
        <x:f>'Weekly Projections'!AW288</x:f>
        <x:v>8.772</x:v>
      </x:c>
      <x:c r="G304" s="13" t="n">
        <x:f>'Weekly Projections'!AX288</x:f>
        <x:v>4.8246</x:v>
      </x:c>
      <x:c r="H304" s="13" t="n">
        <x:f>'Weekly Projections'!AY288</x:f>
        <x:v>12.7194</x:v>
      </x:c>
      <x:c r="I304" s="12" t="str">
        <x:f>'Weekly Projections'!H288</x:f>
        <x:v>ACTIVE</x:v>
      </x:c>
      <x:c r="J304" s="12" t="str">
        <x:f>'Weekly Projections'!AZ288</x:f>
        <x:v>High</x:v>
      </x:c>
      <x:c r="K304" s="12" t="n">
        <x:f>'Weekly Projections'!BA288</x:f>
        <x:v>2</x:v>
      </x:c>
      <x:c r="L304" s="12" t="n">
        <x:f>'Weekly Projections'!BC288</x:f>
        <x:v>10</x:v>
      </x:c>
      <x:c r="M304" s="12" t="str">
        <x:f>'Weekly Projections'!BD288</x:f>
        <x:v>→</x:v>
      </x:c>
    </x:row>
    <x:row r="305">
      <x:c r="A305" s="14" t="n">
        <x:f>'Weekly Projections'!BB289</x:f>
        <x:v>11</x:v>
      </x:c>
      <x:c r="B305" s="12" t="str">
        <x:f>'Weekly Projections'!A289</x:f>
        <x:v>Will Reichard</x:v>
      </x:c>
      <x:c r="C305" s="12" t="str">
        <x:f>'Weekly Projections'!B289</x:f>
        <x:v>MIN</x:v>
      </x:c>
      <x:c r="D305" s="12" t="str">
        <x:f>'Weekly Projections'!C289</x:f>
        <x:v>K</x:v>
      </x:c>
      <x:c r="E305" s="12" t="str">
        <x:f>'Weekly Projections'!D289</x:f>
        <x:v>TB</x:v>
      </x:c>
      <x:c r="F305" s="13" t="n">
        <x:f>'Weekly Projections'!AW289</x:f>
        <x:v>8.69913</x:v>
      </x:c>
      <x:c r="G305" s="13" t="n">
        <x:f>'Weekly Projections'!AX289</x:f>
        <x:v>4.7845215</x:v>
      </x:c>
      <x:c r="H305" s="13" t="n">
        <x:f>'Weekly Projections'!AY289</x:f>
        <x:v>12.6137385</x:v>
      </x:c>
      <x:c r="I305" s="12" t="str">
        <x:f>'Weekly Projections'!H289</x:f>
        <x:v>ACTIVE</x:v>
      </x:c>
      <x:c r="J305" s="12" t="str">
        <x:f>'Weekly Projections'!AZ289</x:f>
        <x:v>High</x:v>
      </x:c>
      <x:c r="K305" s="12" t="n">
        <x:f>'Weekly Projections'!BA289</x:f>
        <x:v>2</x:v>
      </x:c>
      <x:c r="L305" s="12" t="n">
        <x:f>'Weekly Projections'!BC289</x:f>
        <x:v>11</x:v>
      </x:c>
      <x:c r="M305" s="12" t="str">
        <x:f>'Weekly Projections'!BD289</x:f>
        <x:v>→</x:v>
      </x:c>
    </x:row>
    <x:row r="306">
      <x:c r="A306" s="14" t="n">
        <x:f>'Weekly Projections'!BB290</x:f>
        <x:v>12</x:v>
      </x:c>
      <x:c r="B306" s="12" t="str">
        <x:f>'Weekly Projections'!A290</x:f>
        <x:v>Harrison Mevis</x:v>
      </x:c>
      <x:c r="C306" s="12" t="str">
        <x:f>'Weekly Projections'!B290</x:f>
        <x:v>LAR</x:v>
      </x:c>
      <x:c r="D306" s="12" t="str">
        <x:f>'Weekly Projections'!C290</x:f>
        <x:v>K</x:v>
      </x:c>
      <x:c r="E306" s="12" t="str">
        <x:f>'Weekly Projections'!D290</x:f>
        <x:v>DEN</x:v>
      </x:c>
      <x:c r="F306" s="13" t="n">
        <x:f>'Weekly Projections'!AW290</x:f>
        <x:v>8.623159999999999</x:v>
      </x:c>
      <x:c r="G306" s="13" t="n">
        <x:f>'Weekly Projections'!AX290</x:f>
        <x:v>4.742737999999999</x:v>
      </x:c>
      <x:c r="H306" s="13" t="n">
        <x:f>'Weekly Projections'!AY290</x:f>
        <x:v>12.503581999999998</x:v>
      </x:c>
      <x:c r="I306" s="12" t="str">
        <x:f>'Weekly Projections'!H290</x:f>
        <x:v>ACTIVE</x:v>
      </x:c>
      <x:c r="J306" s="12" t="str">
        <x:f>'Weekly Projections'!AZ290</x:f>
        <x:v>High</x:v>
      </x:c>
      <x:c r="K306" s="12" t="n">
        <x:f>'Weekly Projections'!BA290</x:f>
        <x:v>2</x:v>
      </x:c>
      <x:c r="L306" s="12" t="n">
        <x:f>'Weekly Projections'!BC290</x:f>
        <x:v>12</x:v>
      </x:c>
      <x:c r="M306" s="12" t="str">
        <x:f>'Weekly Projections'!BD290</x:f>
        <x:v>→</x:v>
      </x:c>
    </x:row>
    <x:row r="307">
      <x:c r="A307" s="14" t="n">
        <x:f>'Weekly Projections'!BB291</x:f>
        <x:v>13</x:v>
      </x:c>
      <x:c r="B307" s="12" t="str">
        <x:f>'Weekly Projections'!A291</x:f>
        <x:v>Jake Elliott</x:v>
      </x:c>
      <x:c r="C307" s="12" t="str">
        <x:f>'Weekly Projections'!B291</x:f>
        <x:v>PHI</x:v>
      </x:c>
      <x:c r="D307" s="12" t="str">
        <x:f>'Weekly Projections'!C291</x:f>
        <x:v>K</x:v>
      </x:c>
      <x:c r="E307" s="12" t="str">
        <x:f>'Weekly Projections'!D291</x:f>
        <x:v>CHI</x:v>
      </x:c>
      <x:c r="F307" s="13" t="n">
        <x:f>'Weekly Projections'!AW291</x:f>
        <x:v>8.614919999999998</x:v>
      </x:c>
      <x:c r="G307" s="13" t="n">
        <x:f>'Weekly Projections'!AX291</x:f>
        <x:v>4.738205999999999</x:v>
      </x:c>
      <x:c r="H307" s="13" t="n">
        <x:f>'Weekly Projections'!AY291</x:f>
        <x:v>12.491633999999996</x:v>
      </x:c>
      <x:c r="I307" s="12" t="str">
        <x:f>'Weekly Projections'!H291</x:f>
        <x:v>ACTIVE</x:v>
      </x:c>
      <x:c r="J307" s="12" t="str">
        <x:f>'Weekly Projections'!AZ291</x:f>
        <x:v>High</x:v>
      </x:c>
      <x:c r="K307" s="12" t="n">
        <x:f>'Weekly Projections'!BA291</x:f>
        <x:v>2</x:v>
      </x:c>
      <x:c r="L307" s="12" t="n">
        <x:f>'Weekly Projections'!BC291</x:f>
        <x:v>13</x:v>
      </x:c>
      <x:c r="M307" s="12" t="str">
        <x:f>'Weekly Projections'!BD291</x:f>
        <x:v>→</x:v>
      </x:c>
    </x:row>
    <x:row r="308">
      <x:c r="A308" s="14" t="n">
        <x:f>'Weekly Projections'!BB292</x:f>
        <x:v>14</x:v>
      </x:c>
      <x:c r="B308" s="12" t="str">
        <x:f>'Weekly Projections'!A292</x:f>
        <x:v>Evan McPherson</x:v>
      </x:c>
      <x:c r="C308" s="12" t="str">
        <x:f>'Weekly Projections'!B292</x:f>
        <x:v>CIN</x:v>
      </x:c>
      <x:c r="D308" s="12" t="str">
        <x:f>'Weekly Projections'!C292</x:f>
        <x:v>K</x:v>
      </x:c>
      <x:c r="E308" s="12" t="str">
        <x:f>'Weekly Projections'!D292</x:f>
        <x:v>PIT</x:v>
      </x:c>
      <x:c r="F308" s="13" t="n">
        <x:f>'Weekly Projections'!AW292</x:f>
        <x:v>8.32745</x:v>
      </x:c>
      <x:c r="G308" s="13" t="n">
        <x:f>'Weekly Projections'!AX292</x:f>
        <x:v>4.580097500000001</x:v>
      </x:c>
      <x:c r="H308" s="13" t="n">
        <x:f>'Weekly Projections'!AY292</x:f>
        <x:v>12.0748025</x:v>
      </x:c>
      <x:c r="I308" s="12" t="str">
        <x:f>'Weekly Projections'!H292</x:f>
        <x:v>ACTIVE</x:v>
      </x:c>
      <x:c r="J308" s="12" t="str">
        <x:f>'Weekly Projections'!AZ292</x:f>
        <x:v>High</x:v>
      </x:c>
      <x:c r="K308" s="12" t="n">
        <x:f>'Weekly Projections'!BA292</x:f>
        <x:v>2</x:v>
      </x:c>
      <x:c r="L308" s="12" t="n">
        <x:f>'Weekly Projections'!BC292</x:f>
        <x:v>14</x:v>
      </x:c>
      <x:c r="M308" s="12" t="str">
        <x:f>'Weekly Projections'!BD292</x:f>
        <x:v>→</x:v>
      </x:c>
    </x:row>
    <x:row r="309">
      <x:c r="A309" s="14" t="n">
        <x:f>'Weekly Projections'!BB293</x:f>
        <x:v>15</x:v>
      </x:c>
      <x:c r="B309" s="12" t="str">
        <x:f>'Weekly Projections'!A293</x:f>
        <x:v>Chase McLaughlin</x:v>
      </x:c>
      <x:c r="C309" s="12" t="str">
        <x:f>'Weekly Projections'!B293</x:f>
        <x:v>TB</x:v>
      </x:c>
      <x:c r="D309" s="12" t="str">
        <x:f>'Weekly Projections'!C293</x:f>
        <x:v>K</x:v>
      </x:c>
      <x:c r="E309" s="12" t="str">
        <x:f>'Weekly Projections'!D293</x:f>
        <x:v>MIN</x:v>
      </x:c>
      <x:c r="F309" s="13" t="n">
        <x:f>'Weekly Projections'!AW293</x:f>
        <x:v>8.314319999999999</x:v>
      </x:c>
      <x:c r="G309" s="13" t="n">
        <x:f>'Weekly Projections'!AX293</x:f>
        <x:v>4.572876</x:v>
      </x:c>
      <x:c r="H309" s="13" t="n">
        <x:f>'Weekly Projections'!AY293</x:f>
        <x:v>12.055763999999998</x:v>
      </x:c>
      <x:c r="I309" s="12" t="str">
        <x:f>'Weekly Projections'!H293</x:f>
        <x:v>ACTIVE</x:v>
      </x:c>
      <x:c r="J309" s="12" t="str">
        <x:f>'Weekly Projections'!AZ293</x:f>
        <x:v>High</x:v>
      </x:c>
      <x:c r="K309" s="12" t="n">
        <x:f>'Weekly Projections'!BA293</x:f>
        <x:v>2</x:v>
      </x:c>
      <x:c r="L309" s="12" t="n">
        <x:f>'Weekly Projections'!BC293</x:f>
        <x:v>15</x:v>
      </x:c>
      <x:c r="M309" s="12" t="str">
        <x:f>'Weekly Projections'!BD293</x:f>
        <x:v>→</x:v>
      </x:c>
    </x:row>
    <x:row r="310">
      <x:c r="A310" s="14" t="n">
        <x:f>'Weekly Projections'!BB294</x:f>
        <x:v>16</x:v>
      </x:c>
      <x:c r="B310" s="12" t="str">
        <x:f>'Weekly Projections'!A294</x:f>
        <x:v>Andy Borregales</x:v>
      </x:c>
      <x:c r="C310" s="12" t="str">
        <x:f>'Weekly Projections'!B294</x:f>
        <x:v>NE</x:v>
      </x:c>
      <x:c r="D310" s="12" t="str">
        <x:f>'Weekly Projections'!C294</x:f>
        <x:v>K</x:v>
      </x:c>
      <x:c r="E310" s="12" t="str">
        <x:f>'Weekly Projections'!D294</x:f>
        <x:v>JAX</x:v>
      </x:c>
      <x:c r="F310" s="13" t="n">
        <x:f>'Weekly Projections'!AW294</x:f>
        <x:v>8.29668</x:v>
      </x:c>
      <x:c r="G310" s="13" t="n">
        <x:f>'Weekly Projections'!AX294</x:f>
        <x:v>4.563174000000001</x:v>
      </x:c>
      <x:c r="H310" s="13" t="n">
        <x:f>'Weekly Projections'!AY294</x:f>
        <x:v>12.030186</x:v>
      </x:c>
      <x:c r="I310" s="12" t="str">
        <x:f>'Weekly Projections'!H294</x:f>
        <x:v>ACTIVE</x:v>
      </x:c>
      <x:c r="J310" s="12" t="str">
        <x:f>'Weekly Projections'!AZ294</x:f>
        <x:v>High</x:v>
      </x:c>
      <x:c r="K310" s="12" t="n">
        <x:f>'Weekly Projections'!BA294</x:f>
        <x:v>2</x:v>
      </x:c>
      <x:c r="L310" s="12" t="n">
        <x:f>'Weekly Projections'!BC294</x:f>
        <x:v>16</x:v>
      </x:c>
      <x:c r="M310" s="12" t="str">
        <x:f>'Weekly Projections'!BD294</x:f>
        <x:v>→</x:v>
      </x:c>
    </x:row>
    <x:row r="311">
      <x:c r="A311" s="14" t="n">
        <x:f>'Weekly Projections'!BB295</x:f>
        <x:v>17</x:v>
      </x:c>
      <x:c r="B311" s="12" t="str">
        <x:f>'Weekly Projections'!A295</x:f>
        <x:v>Trey Smack</x:v>
      </x:c>
      <x:c r="C311" s="12" t="str">
        <x:f>'Weekly Projections'!B295</x:f>
        <x:v>GB</x:v>
      </x:c>
      <x:c r="D311" s="12" t="str">
        <x:f>'Weekly Projections'!C295</x:f>
        <x:v>K</x:v>
      </x:c>
      <x:c r="E311" s="12" t="str">
        <x:f>'Weekly Projections'!D295</x:f>
        <x:v>ATL</x:v>
      </x:c>
      <x:c r="F311" s="13" t="n">
        <x:f>'Weekly Projections'!AW295</x:f>
        <x:v>8.262</x:v>
      </x:c>
      <x:c r="G311" s="13" t="n">
        <x:f>'Weekly Projections'!AX295</x:f>
        <x:v>4.5441</x:v>
      </x:c>
      <x:c r="H311" s="13" t="n">
        <x:f>'Weekly Projections'!AY295</x:f>
        <x:v>11.9799</x:v>
      </x:c>
      <x:c r="I311" s="12" t="str">
        <x:f>'Weekly Projections'!H295</x:f>
        <x:v>ACTIVE</x:v>
      </x:c>
      <x:c r="J311" s="12" t="str">
        <x:f>'Weekly Projections'!AZ295</x:f>
        <x:v>High</x:v>
      </x:c>
      <x:c r="K311" s="12" t="n">
        <x:f>'Weekly Projections'!BA295</x:f>
        <x:v>3</x:v>
      </x:c>
      <x:c r="L311" s="12" t="n">
        <x:f>'Weekly Projections'!BC295</x:f>
        <x:v>17</x:v>
      </x:c>
      <x:c r="M311" s="12" t="str">
        <x:f>'Weekly Projections'!BD295</x:f>
        <x:v>→</x:v>
      </x:c>
    </x:row>
    <x:row r="312">
      <x:c r="A312" s="14" t="n">
        <x:f>'Weekly Projections'!BB296</x:f>
        <x:v>18</x:v>
      </x:c>
      <x:c r="B312" s="12" t="str">
        <x:f>'Weekly Projections'!A296</x:f>
        <x:v>Tyler Bass</x:v>
      </x:c>
      <x:c r="C312" s="12" t="str">
        <x:f>'Weekly Projections'!B296</x:f>
        <x:v>BUF</x:v>
      </x:c>
      <x:c r="D312" s="12" t="str">
        <x:f>'Weekly Projections'!C296</x:f>
        <x:v>K</x:v>
      </x:c>
      <x:c r="E312" s="12" t="str">
        <x:f>'Weekly Projections'!D296</x:f>
        <x:v>LAC</x:v>
      </x:c>
      <x:c r="F312" s="13" t="n">
        <x:f>'Weekly Projections'!AW296</x:f>
        <x:v>8.25552</x:v>
      </x:c>
      <x:c r="G312" s="13" t="n">
        <x:f>'Weekly Projections'!AX296</x:f>
        <x:v>4.540536</x:v>
      </x:c>
      <x:c r="H312" s="13" t="n">
        <x:f>'Weekly Projections'!AY296</x:f>
        <x:v>11.970504</x:v>
      </x:c>
      <x:c r="I312" s="12" t="str">
        <x:f>'Weekly Projections'!H296</x:f>
        <x:v>ACTIVE</x:v>
      </x:c>
      <x:c r="J312" s="12" t="str">
        <x:f>'Weekly Projections'!AZ296</x:f>
        <x:v>High</x:v>
      </x:c>
      <x:c r="K312" s="12" t="n">
        <x:f>'Weekly Projections'!BA296</x:f>
        <x:v>3</x:v>
      </x:c>
      <x:c r="L312" s="12" t="n">
        <x:f>'Weekly Projections'!BC296</x:f>
        <x:v>18</x:v>
      </x:c>
      <x:c r="M312" s="12" t="str">
        <x:f>'Weekly Projections'!BD296</x:f>
        <x:v>→</x:v>
      </x:c>
    </x:row>
    <x:row r="313">
      <x:c r="A313" s="14" t="n">
        <x:f>'Weekly Projections'!BB297</x:f>
        <x:v>19</x:v>
      </x:c>
      <x:c r="B313" s="12" t="str">
        <x:f>'Weekly Projections'!A297</x:f>
        <x:v>Wil Lutz</x:v>
      </x:c>
      <x:c r="C313" s="12" t="str">
        <x:f>'Weekly Projections'!B297</x:f>
        <x:v>DEN</x:v>
      </x:c>
      <x:c r="D313" s="12" t="str">
        <x:f>'Weekly Projections'!C297</x:f>
        <x:v>K</x:v>
      </x:c>
      <x:c r="E313" s="12" t="str">
        <x:f>'Weekly Projections'!D297</x:f>
        <x:v>LAR</x:v>
      </x:c>
      <x:c r="F313" s="13" t="n">
        <x:f>'Weekly Projections'!AW297</x:f>
        <x:v>8.134</x:v>
      </x:c>
      <x:c r="G313" s="13" t="n">
        <x:f>'Weekly Projections'!AX297</x:f>
        <x:v>4.473700000000001</x:v>
      </x:c>
      <x:c r="H313" s="13" t="n">
        <x:f>'Weekly Projections'!AY297</x:f>
        <x:v>11.7943</x:v>
      </x:c>
      <x:c r="I313" s="12" t="str">
        <x:f>'Weekly Projections'!H297</x:f>
        <x:v>ACTIVE</x:v>
      </x:c>
      <x:c r="J313" s="12" t="str">
        <x:f>'Weekly Projections'!AZ297</x:f>
        <x:v>High</x:v>
      </x:c>
      <x:c r="K313" s="12" t="n">
        <x:f>'Weekly Projections'!BA297</x:f>
        <x:v>3</x:v>
      </x:c>
      <x:c r="L313" s="12" t="n">
        <x:f>'Weekly Projections'!BC297</x:f>
        <x:v>19</x:v>
      </x:c>
      <x:c r="M313" s="12" t="str">
        <x:f>'Weekly Projections'!BD297</x:f>
        <x:v>→</x:v>
      </x:c>
    </x:row>
    <x:row r="314">
      <x:c r="A314" s="14" t="n">
        <x:f>'Weekly Projections'!BB298</x:f>
        <x:v>20</x:v>
      </x:c>
      <x:c r="B314" s="12" t="str">
        <x:f>'Weekly Projections'!A298</x:f>
        <x:v>Jason Sanders</x:v>
      </x:c>
      <x:c r="C314" s="12" t="str">
        <x:f>'Weekly Projections'!B298</x:f>
        <x:v>NYJ</x:v>
      </x:c>
      <x:c r="D314" s="12" t="str">
        <x:f>'Weekly Projections'!C298</x:f>
        <x:v>K</x:v>
      </x:c>
      <x:c r="E314" s="12" t="str">
        <x:f>'Weekly Projections'!D298</x:f>
        <x:v>DET</x:v>
      </x:c>
      <x:c r="F314" s="13" t="n">
        <x:f>'Weekly Projections'!AW298</x:f>
        <x:v>7.969519999999999</x:v>
      </x:c>
      <x:c r="G314" s="13" t="n">
        <x:f>'Weekly Projections'!AX298</x:f>
        <x:v>4.383236</x:v>
      </x:c>
      <x:c r="H314" s="13" t="n">
        <x:f>'Weekly Projections'!AY298</x:f>
        <x:v>11.555803999999998</x:v>
      </x:c>
      <x:c r="I314" s="12" t="str">
        <x:f>'Weekly Projections'!H298</x:f>
        <x:v>ACTIVE</x:v>
      </x:c>
      <x:c r="J314" s="12" t="str">
        <x:f>'Weekly Projections'!AZ298</x:f>
        <x:v>High</x:v>
      </x:c>
      <x:c r="K314" s="12" t="n">
        <x:f>'Weekly Projections'!BA298</x:f>
        <x:v>3</x:v>
      </x:c>
      <x:c r="L314" s="12" t="n">
        <x:f>'Weekly Projections'!BC298</x:f>
        <x:v>20</x:v>
      </x:c>
      <x:c r="M314" s="12" t="str">
        <x:f>'Weekly Projections'!BD298</x:f>
        <x:v>→</x:v>
      </x:c>
    </x:row>
    <x:row r="315">
      <x:c r="A315" s="14" t="n">
        <x:f>'Weekly Projections'!BB301</x:f>
        <x:v>21</x:v>
      </x:c>
      <x:c r="B315" s="12" t="str">
        <x:f>'Weekly Projections'!A301</x:f>
        <x:v>Cairo Santos</x:v>
      </x:c>
      <x:c r="C315" s="12" t="str">
        <x:f>'Weekly Projections'!B301</x:f>
        <x:v>CHI</x:v>
      </x:c>
      <x:c r="D315" s="12" t="str">
        <x:f>'Weekly Projections'!C301</x:f>
        <x:v>K</x:v>
      </x:c>
      <x:c r="E315" s="12" t="str">
        <x:f>'Weekly Projections'!D301</x:f>
        <x:v>PHI</x:v>
      </x:c>
      <x:c r="F315" s="13" t="n">
        <x:f>'Weekly Projections'!AW301</x:f>
        <x:v>7.670399999999997</x:v>
      </x:c>
      <x:c r="G315" s="13" t="n">
        <x:f>'Weekly Projections'!AX301</x:f>
        <x:v>4.2187199999999985</x:v>
      </x:c>
      <x:c r="H315" s="13" t="n">
        <x:f>'Weekly Projections'!AY301</x:f>
        <x:v>11.122079999999995</x:v>
      </x:c>
      <x:c r="I315" s="12" t="str">
        <x:f>'Weekly Projections'!H301</x:f>
        <x:v>ACTIVE</x:v>
      </x:c>
      <x:c r="J315" s="12" t="str">
        <x:f>'Weekly Projections'!AZ301</x:f>
        <x:v>High</x:v>
      </x:c>
      <x:c r="K315" s="12" t="n">
        <x:f>'Weekly Projections'!BA301</x:f>
        <x:v>3</x:v>
      </x:c>
      <x:c r="L315" s="12" t="n">
        <x:f>'Weekly Projections'!BC301</x:f>
        <x:v>21</x:v>
      </x:c>
      <x:c r="M315" s="12" t="str">
        <x:f>'Weekly Projections'!BD301</x:f>
        <x:v>→</x:v>
      </x:c>
    </x:row>
    <x:row r="316">
      <x:c r="A316" s="14" t="n">
        <x:f>'Weekly Projections'!BB302</x:f>
        <x:v>22</x:v>
      </x:c>
      <x:c r="B316" s="12" t="str">
        <x:f>'Weekly Projections'!A302</x:f>
        <x:v>Daniel Carlson</x:v>
      </x:c>
      <x:c r="C316" s="12" t="str">
        <x:f>'Weekly Projections'!B302</x:f>
        <x:v>NO</x:v>
      </x:c>
      <x:c r="D316" s="12" t="str">
        <x:f>'Weekly Projections'!C302</x:f>
        <x:v>K</x:v>
      </x:c>
      <x:c r="E316" s="12" t="str">
        <x:f>'Weekly Projections'!D302</x:f>
        <x:v>LV</x:v>
      </x:c>
      <x:c r="F316" s="13" t="n">
        <x:f>'Weekly Projections'!AW302</x:f>
        <x:v>7.623</x:v>
      </x:c>
      <x:c r="G316" s="13" t="n">
        <x:f>'Weekly Projections'!AX302</x:f>
        <x:v>4.19265</x:v>
      </x:c>
      <x:c r="H316" s="13" t="n">
        <x:f>'Weekly Projections'!AY302</x:f>
        <x:v>11.05335</x:v>
      </x:c>
      <x:c r="I316" s="12" t="str">
        <x:f>'Weekly Projections'!H302</x:f>
        <x:v>ACTIVE</x:v>
      </x:c>
      <x:c r="J316" s="12" t="str">
        <x:f>'Weekly Projections'!AZ302</x:f>
        <x:v>High</x:v>
      </x:c>
      <x:c r="K316" s="12" t="n">
        <x:f>'Weekly Projections'!BA302</x:f>
        <x:v>3</x:v>
      </x:c>
      <x:c r="L316" s="12" t="n">
        <x:f>'Weekly Projections'!BC302</x:f>
        <x:v>22</x:v>
      </x:c>
      <x:c r="M316" s="12" t="str">
        <x:f>'Weekly Projections'!BD302</x:f>
        <x:v>→</x:v>
      </x:c>
    </x:row>
    <x:row r="317">
      <x:c r="A317" s="14" t="n">
        <x:f>'Weekly Projections'!BB303</x:f>
        <x:v>23</x:v>
      </x:c>
      <x:c r="B317" s="12" t="str">
        <x:f>'Weekly Projections'!A303</x:f>
        <x:v>Joey Slye</x:v>
      </x:c>
      <x:c r="C317" s="12" t="str">
        <x:f>'Weekly Projections'!B303</x:f>
        <x:v>TEN</x:v>
      </x:c>
      <x:c r="D317" s="12" t="str">
        <x:f>'Weekly Projections'!C303</x:f>
        <x:v>K</x:v>
      </x:c>
      <x:c r="E317" s="12" t="str">
        <x:f>'Weekly Projections'!D303</x:f>
        <x:v>NYG</x:v>
      </x:c>
      <x:c r="F317" s="13" t="n">
        <x:f>'Weekly Projections'!AW303</x:f>
        <x:v>7.613760000000001</x:v>
      </x:c>
      <x:c r="G317" s="13" t="n">
        <x:f>'Weekly Projections'!AX303</x:f>
        <x:v>4.187568000000001</x:v>
      </x:c>
      <x:c r="H317" s="13" t="n">
        <x:f>'Weekly Projections'!AY303</x:f>
        <x:v>11.039952000000001</x:v>
      </x:c>
      <x:c r="I317" s="12" t="str">
        <x:f>'Weekly Projections'!H303</x:f>
        <x:v>ACTIVE</x:v>
      </x:c>
      <x:c r="J317" s="12" t="str">
        <x:f>'Weekly Projections'!AZ303</x:f>
        <x:v>High</x:v>
      </x:c>
      <x:c r="K317" s="12" t="n">
        <x:f>'Weekly Projections'!BA303</x:f>
        <x:v>4</x:v>
      </x:c>
      <x:c r="L317" s="12" t="n">
        <x:f>'Weekly Projections'!BC303</x:f>
        <x:v>23</x:v>
      </x:c>
      <x:c r="M317" s="12" t="str">
        <x:f>'Weekly Projections'!BD303</x:f>
        <x:v>→</x:v>
      </x:c>
    </x:row>
    <x:row r="318">
      <x:c r="A318" s="14" t="n">
        <x:f>'Weekly Projections'!BB304</x:f>
        <x:v>24</x:v>
      </x:c>
      <x:c r="B318" s="12" t="str">
        <x:f>'Weekly Projections'!A304</x:f>
        <x:v>Spencer Shrader</x:v>
      </x:c>
      <x:c r="C318" s="12" t="str">
        <x:f>'Weekly Projections'!B304</x:f>
        <x:v>IND</x:v>
      </x:c>
      <x:c r="D318" s="12" t="str">
        <x:f>'Weekly Projections'!C304</x:f>
        <x:v>K</x:v>
      </x:c>
      <x:c r="E318" s="12" t="str">
        <x:f>'Weekly Projections'!D304</x:f>
        <x:v>HOU</x:v>
      </x:c>
      <x:c r="F318" s="13" t="n">
        <x:f>'Weekly Projections'!AW304</x:f>
        <x:v>7.504999999999999</x:v>
      </x:c>
      <x:c r="G318" s="13" t="n">
        <x:f>'Weekly Projections'!AX304</x:f>
        <x:v>4.12775</x:v>
      </x:c>
      <x:c r="H318" s="13" t="n">
        <x:f>'Weekly Projections'!AY304</x:f>
        <x:v>10.882249999999999</x:v>
      </x:c>
      <x:c r="I318" s="12" t="str">
        <x:f>'Weekly Projections'!H304</x:f>
        <x:v>ACTIVE</x:v>
      </x:c>
      <x:c r="J318" s="12" t="str">
        <x:f>'Weekly Projections'!AZ304</x:f>
        <x:v>High</x:v>
      </x:c>
      <x:c r="K318" s="12" t="n">
        <x:f>'Weekly Projections'!BA304</x:f>
        <x:v>4</x:v>
      </x:c>
      <x:c r="L318" s="12" t="n">
        <x:f>'Weekly Projections'!BC304</x:f>
        <x:v>24</x:v>
      </x:c>
      <x:c r="M318" s="12" t="str">
        <x:f>'Weekly Projections'!BD304</x:f>
        <x:v>→</x:v>
      </x:c>
    </x:row>
    <x:row r="319">
      <x:c r="A319" s="14" t="n">
        <x:f>'Weekly Projections'!BB305</x:f>
        <x:v>25</x:v>
      </x:c>
      <x:c r="B319" s="12" t="str">
        <x:f>'Weekly Projections'!A305</x:f>
        <x:v>Nick Folk</x:v>
      </x:c>
      <x:c r="C319" s="12" t="str">
        <x:f>'Weekly Projections'!B305</x:f>
        <x:v>ATL</x:v>
      </x:c>
      <x:c r="D319" s="12" t="str">
        <x:f>'Weekly Projections'!C305</x:f>
        <x:v>K</x:v>
      </x:c>
      <x:c r="E319" s="12" t="str">
        <x:f>'Weekly Projections'!D305</x:f>
        <x:v>GB</x:v>
      </x:c>
      <x:c r="F319" s="13" t="n">
        <x:f>'Weekly Projections'!AW305</x:f>
        <x:v>7.4495999999999984</x:v>
      </x:c>
      <x:c r="G319" s="13" t="n">
        <x:f>'Weekly Projections'!AX305</x:f>
        <x:v>4.09728</x:v>
      </x:c>
      <x:c r="H319" s="13" t="n">
        <x:f>'Weekly Projections'!AY305</x:f>
        <x:v>10.801919999999997</x:v>
      </x:c>
      <x:c r="I319" s="12" t="str">
        <x:f>'Weekly Projections'!H305</x:f>
        <x:v>ACTIVE</x:v>
      </x:c>
      <x:c r="J319" s="12" t="str">
        <x:f>'Weekly Projections'!AZ305</x:f>
        <x:v>High</x:v>
      </x:c>
      <x:c r="K319" s="12" t="n">
        <x:f>'Weekly Projections'!BA305</x:f>
        <x:v>4</x:v>
      </x:c>
      <x:c r="L319" s="12" t="n">
        <x:f>'Weekly Projections'!BC305</x:f>
        <x:v>25</x:v>
      </x:c>
      <x:c r="M319" s="12" t="str">
        <x:f>'Weekly Projections'!BD305</x:f>
        <x:v>→</x:v>
      </x:c>
    </x:row>
    <x:row r="320">
      <x:c r="A320" s="14" t="n">
        <x:f>'Weekly Projections'!BB306</x:f>
        <x:v>26</x:v>
      </x:c>
      <x:c r="B320" s="12" t="str">
        <x:f>'Weekly Projections'!A306</x:f>
        <x:v>Matt Gay</x:v>
      </x:c>
      <x:c r="C320" s="12" t="str">
        <x:f>'Weekly Projections'!B306</x:f>
        <x:v>LV</x:v>
      </x:c>
      <x:c r="D320" s="12" t="str">
        <x:f>'Weekly Projections'!C306</x:f>
        <x:v>K</x:v>
      </x:c>
      <x:c r="E320" s="12" t="str">
        <x:f>'Weekly Projections'!D306</x:f>
        <x:v>NO</x:v>
      </x:c>
      <x:c r="F320" s="13" t="n">
        <x:f>'Weekly Projections'!AW306</x:f>
        <x:v>7.097159999999999</x:v>
      </x:c>
      <x:c r="G320" s="13" t="n">
        <x:f>'Weekly Projections'!AX306</x:f>
        <x:v>3.9034379999999995</x:v>
      </x:c>
      <x:c r="H320" s="13" t="n">
        <x:f>'Weekly Projections'!AY306</x:f>
        <x:v>10.290881999999998</x:v>
      </x:c>
      <x:c r="I320" s="12" t="str">
        <x:f>'Weekly Projections'!H306</x:f>
        <x:v>ACTIVE</x:v>
      </x:c>
      <x:c r="J320" s="12" t="str">
        <x:f>'Weekly Projections'!AZ306</x:f>
        <x:v>High</x:v>
      </x:c>
      <x:c r="K320" s="12" t="n">
        <x:f>'Weekly Projections'!BA306</x:f>
        <x:v>4</x:v>
      </x:c>
      <x:c r="L320" s="12" t="n">
        <x:f>'Weekly Projections'!BC306</x:f>
        <x:v>26</x:v>
      </x:c>
      <x:c r="M320" s="12" t="str">
        <x:f>'Weekly Projections'!BD306</x:f>
        <x:v>→</x:v>
      </x:c>
    </x:row>
    <x:row r="321">
      <x:c r="A321" s="14" t="n">
        <x:f>'Weekly Projections'!BB307</x:f>
        <x:v>27</x:v>
      </x:c>
      <x:c r="B321" s="12" t="str">
        <x:f>'Weekly Projections'!A307</x:f>
        <x:v>Andre Szmyt</x:v>
      </x:c>
      <x:c r="C321" s="12" t="str">
        <x:f>'Weekly Projections'!B307</x:f>
        <x:v>CLE</x:v>
      </x:c>
      <x:c r="D321" s="12" t="str">
        <x:f>'Weekly Projections'!C307</x:f>
        <x:v>K</x:v>
      </x:c>
      <x:c r="E321" s="12" t="str">
        <x:f>'Weekly Projections'!D307</x:f>
        <x:v>CAR</x:v>
      </x:c>
      <x:c r="F321" s="13" t="n">
        <x:f>'Weekly Projections'!AW307</x:f>
        <x:v>7.0615999999999985</x:v>
      </x:c>
      <x:c r="G321" s="13" t="n">
        <x:f>'Weekly Projections'!AX307</x:f>
        <x:v>3.8838799999999996</x:v>
      </x:c>
      <x:c r="H321" s="13" t="n">
        <x:f>'Weekly Projections'!AY307</x:f>
        <x:v>10.239319999999998</x:v>
      </x:c>
      <x:c r="I321" s="12" t="str">
        <x:f>'Weekly Projections'!H307</x:f>
        <x:v>ACTIVE</x:v>
      </x:c>
      <x:c r="J321" s="12" t="str">
        <x:f>'Weekly Projections'!AZ307</x:f>
        <x:v>High</x:v>
      </x:c>
      <x:c r="K321" s="12" t="n">
        <x:f>'Weekly Projections'!BA307</x:f>
        <x:v>4</x:v>
      </x:c>
      <x:c r="L321" s="12" t="n">
        <x:f>'Weekly Projections'!BC307</x:f>
        <x:v>27</x:v>
      </x:c>
      <x:c r="M321" s="12" t="str">
        <x:f>'Weekly Projections'!BD307</x:f>
        <x:v>→</x:v>
      </x:c>
    </x:row>
    <x:row r="322">
      <x:c r="A322" s="14" t="n">
        <x:f>'Weekly Projections'!BB308</x:f>
        <x:v>28</x:v>
      </x:c>
      <x:c r="B322" s="12" t="str">
        <x:f>'Weekly Projections'!A308</x:f>
        <x:v>Ryan Fitzgerald</x:v>
      </x:c>
      <x:c r="C322" s="12" t="str">
        <x:f>'Weekly Projections'!B308</x:f>
        <x:v>CAR</x:v>
      </x:c>
      <x:c r="D322" s="12" t="str">
        <x:f>'Weekly Projections'!C308</x:f>
        <x:v>K</x:v>
      </x:c>
      <x:c r="E322" s="12" t="str">
        <x:f>'Weekly Projections'!D308</x:f>
        <x:v>CLE</x:v>
      </x:c>
      <x:c r="F322" s="13" t="n">
        <x:f>'Weekly Projections'!AW308</x:f>
        <x:v>6.9825</x:v>
      </x:c>
      <x:c r="G322" s="13" t="n">
        <x:f>'Weekly Projections'!AX308</x:f>
        <x:v>3.8403750000000003</x:v>
      </x:c>
      <x:c r="H322" s="13" t="n">
        <x:f>'Weekly Projections'!AY308</x:f>
        <x:v>10.124625</x:v>
      </x:c>
      <x:c r="I322" s="12" t="str">
        <x:f>'Weekly Projections'!H308</x:f>
        <x:v>ACTIVE</x:v>
      </x:c>
      <x:c r="J322" s="12" t="str">
        <x:f>'Weekly Projections'!AZ308</x:f>
        <x:v>High</x:v>
      </x:c>
      <x:c r="K322" s="12" t="n">
        <x:f>'Weekly Projections'!BA308</x:f>
        <x:v>4</x:v>
      </x:c>
      <x:c r="L322" s="12" t="n">
        <x:f>'Weekly Projections'!BC308</x:f>
        <x:v>28</x:v>
      </x:c>
      <x:c r="M322" s="12" t="str">
        <x:f>'Weekly Projections'!BD308</x:f>
        <x:v>→</x:v>
      </x:c>
    </x:row>
    <x:row r="323">
      <x:c r="A323" s="14" t="n">
        <x:f>'Weekly Projections'!BB309</x:f>
        <x:v>29</x:v>
      </x:c>
      <x:c r="B323" s="12" t="str">
        <x:f>'Weekly Projections'!A309</x:f>
        <x:v>Chad Ryland</x:v>
      </x:c>
      <x:c r="C323" s="12" t="str">
        <x:f>'Weekly Projections'!B309</x:f>
        <x:v>ARI</x:v>
      </x:c>
      <x:c r="D323" s="12" t="str">
        <x:f>'Weekly Projections'!C309</x:f>
        <x:v>K</x:v>
      </x:c>
      <x:c r="E323" s="12" t="str">
        <x:f>'Weekly Projections'!D309</x:f>
        <x:v>SF</x:v>
      </x:c>
      <x:c r="F323" s="13" t="n">
        <x:f>'Weekly Projections'!AW309</x:f>
        <x:v>6.956</x:v>
      </x:c>
      <x:c r="G323" s="13" t="n">
        <x:f>'Weekly Projections'!AX309</x:f>
        <x:v>3.8258000000000005</x:v>
      </x:c>
      <x:c r="H323" s="13" t="n">
        <x:f>'Weekly Projections'!AY309</x:f>
        <x:v>10.0862</x:v>
      </x:c>
      <x:c r="I323" s="12" t="str">
        <x:f>'Weekly Projections'!H309</x:f>
        <x:v>ACTIVE</x:v>
      </x:c>
      <x:c r="J323" s="12" t="str">
        <x:f>'Weekly Projections'!AZ309</x:f>
        <x:v>High</x:v>
      </x:c>
      <x:c r="K323" s="12" t="n">
        <x:f>'Weekly Projections'!BA309</x:f>
        <x:v>4</x:v>
      </x:c>
      <x:c r="L323" s="12" t="n">
        <x:f>'Weekly Projections'!BC309</x:f>
        <x:v>29</x:v>
      </x:c>
      <x:c r="M323" s="12" t="str">
        <x:f>'Weekly Projections'!BD309</x:f>
        <x:v>→</x:v>
      </x:c>
    </x:row>
    <x:row r="324">
      <x:c r="A324" s="14" t="n">
        <x:f>'Weekly Projections'!BB310</x:f>
        <x:v>30</x:v>
      </x:c>
      <x:c r="B324" s="12" t="str">
        <x:f>'Weekly Projections'!A310</x:f>
        <x:v>Drew Stevens</x:v>
      </x:c>
      <x:c r="C324" s="12" t="str">
        <x:f>'Weekly Projections'!B310</x:f>
        <x:v>WAS</x:v>
      </x:c>
      <x:c r="D324" s="12" t="str">
        <x:f>'Weekly Projections'!C310</x:f>
        <x:v>K</x:v>
      </x:c>
      <x:c r="E324" s="12" t="str">
        <x:f>'Weekly Projections'!D310</x:f>
        <x:v>SEA</x:v>
      </x:c>
      <x:c r="F324" s="13" t="n">
        <x:f>'Weekly Projections'!AW310</x:f>
        <x:v>6.93938</x:v>
      </x:c>
      <x:c r="G324" s="13" t="n">
        <x:f>'Weekly Projections'!AX310</x:f>
        <x:v>3.816659</x:v>
      </x:c>
      <x:c r="H324" s="13" t="n">
        <x:f>'Weekly Projections'!AY310</x:f>
        <x:v>10.062101</x:v>
      </x:c>
      <x:c r="I324" s="12" t="str">
        <x:f>'Weekly Projections'!H310</x:f>
        <x:v>ACTIVE</x:v>
      </x:c>
      <x:c r="J324" s="12" t="str">
        <x:f>'Weekly Projections'!AZ310</x:f>
        <x:v>High</x:v>
      </x:c>
      <x:c r="K324" s="12" t="n">
        <x:f>'Weekly Projections'!BA310</x:f>
        <x:v>4</x:v>
      </x:c>
      <x:c r="L324" s="12" t="n">
        <x:f>'Weekly Projections'!BC310</x:f>
        <x:v>30</x:v>
      </x:c>
      <x:c r="M324" s="12" t="str">
        <x:f>'Weekly Projections'!BD310</x:f>
        <x:v>→</x:v>
      </x:c>
    </x:row>
    <x:row r="325">
      <x:c r="A325" s="14" t="n">
        <x:f>'Weekly Projections'!BB311</x:f>
        <x:v>31</x:v>
      </x:c>
      <x:c r="B325" s="12" t="str">
        <x:f>'Weekly Projections'!A311</x:f>
        <x:v>Dominic Zvada</x:v>
      </x:c>
      <x:c r="C325" s="12" t="str">
        <x:f>'Weekly Projections'!B311</x:f>
        <x:v>NYG</x:v>
      </x:c>
      <x:c r="D325" s="12" t="str">
        <x:f>'Weekly Projections'!C311</x:f>
        <x:v>K</x:v>
      </x:c>
      <x:c r="E325" s="12" t="str">
        <x:f>'Weekly Projections'!D311</x:f>
        <x:v>TEN</x:v>
      </x:c>
      <x:c r="F325" s="13" t="n">
        <x:f>'Weekly Projections'!AW311</x:f>
        <x:v>6.854399999999999</x:v>
      </x:c>
      <x:c r="G325" s="13" t="n">
        <x:f>'Weekly Projections'!AX311</x:f>
        <x:v>3.76992</x:v>
      </x:c>
      <x:c r="H325" s="13" t="n">
        <x:f>'Weekly Projections'!AY311</x:f>
        <x:v>9.93888</x:v>
      </x:c>
      <x:c r="I325" s="12" t="str">
        <x:f>'Weekly Projections'!H311</x:f>
        <x:v>ACTIVE</x:v>
      </x:c>
      <x:c r="J325" s="12" t="str">
        <x:f>'Weekly Projections'!AZ311</x:f>
        <x:v>High</x:v>
      </x:c>
      <x:c r="K325" s="12" t="n">
        <x:f>'Weekly Projections'!BA311</x:f>
        <x:v>5</x:v>
      </x:c>
      <x:c r="L325" s="12" t="n">
        <x:f>'Weekly Projections'!BC311</x:f>
        <x:v>31</x:v>
      </x:c>
      <x:c r="M325" s="12" t="str">
        <x:f>'Weekly Projections'!BD311</x:f>
        <x:v>→</x:v>
      </x:c>
    </x:row>
    <x:row r="326">
      <x:c r="A326" s="14" t="n">
        <x:f>'Weekly Projections'!BB312</x:f>
        <x:v>32</x:v>
      </x:c>
      <x:c r="B326" s="12" t="str">
        <x:f>'Weekly Projections'!A312</x:f>
        <x:v>Riley Patterson</x:v>
      </x:c>
      <x:c r="C326" s="12" t="str">
        <x:f>'Weekly Projections'!B312</x:f>
        <x:v>MIA</x:v>
      </x:c>
      <x:c r="D326" s="12" t="str">
        <x:f>'Weekly Projections'!C312</x:f>
        <x:v>K</x:v>
      </x:c>
      <x:c r="E326" s="12" t="str">
        <x:f>'Weekly Projections'!D312</x:f>
        <x:v>KC</x:v>
      </x:c>
      <x:c r="F326" s="13" t="n">
        <x:f>'Weekly Projections'!AW312</x:f>
        <x:v>6.6348</x:v>
      </x:c>
      <x:c r="G326" s="13" t="n">
        <x:f>'Weekly Projections'!AX312</x:f>
        <x:v>3.6491400000000005</x:v>
      </x:c>
      <x:c r="H326" s="13" t="n">
        <x:f>'Weekly Projections'!AY312</x:f>
        <x:v>9.62046</x:v>
      </x:c>
      <x:c r="I326" s="12" t="str">
        <x:f>'Weekly Projections'!H312</x:f>
        <x:v>ACTIVE</x:v>
      </x:c>
      <x:c r="J326" s="12" t="str">
        <x:f>'Weekly Projections'!AZ312</x:f>
        <x:v>High</x:v>
      </x:c>
      <x:c r="K326" s="12" t="n">
        <x:f>'Weekly Projections'!BA312</x:f>
        <x:v>5</x:v>
      </x:c>
      <x:c r="L326" s="12" t="n">
        <x:f>'Weekly Projections'!BC312</x:f>
        <x:v>32</x:v>
      </x:c>
      <x:c r="M326" s="12" t="str">
        <x:f>'Weekly Projections'!BD312</x:f>
        <x:v>→</x:v>
      </x:c>
    </x:row>
    <x:row r="327">
      <x:c r="A327" s="14"/>
      <x:c r="B327" s="12"/>
      <x:c r="C327" s="12"/>
      <x:c r="D327" s="12"/>
      <x:c r="E327" s="12"/>
      <x:c r="F327" s="13"/>
      <x:c r="G327" s="13"/>
      <x:c r="H327" s="13"/>
      <x:c r="I327" s="12"/>
      <x:c r="J327" s="12"/>
      <x:c r="K327" s="12"/>
      <x:c r="L327" s="12"/>
      <x:c r="M327" s="12"/>
    </x:row>
    <x:row r="328">
      <x:c r="A328" s="14"/>
      <x:c r="B328" s="12"/>
      <x:c r="C328" s="12"/>
      <x:c r="D328" s="12"/>
      <x:c r="E328" s="12"/>
      <x:c r="F328" s="13"/>
      <x:c r="G328" s="13"/>
      <x:c r="H328" s="13"/>
      <x:c r="I328" s="12"/>
      <x:c r="J328" s="12"/>
      <x:c r="K328" s="12"/>
      <x:c r="L328" s="12"/>
      <x:c r="M328" s="12"/>
    </x:row>
    <x:row r="329">
      <x:c r="A329" s="14"/>
      <x:c r="B329" s="12"/>
      <x:c r="C329" s="12"/>
      <x:c r="D329" s="12"/>
      <x:c r="E329" s="12"/>
      <x:c r="F329" s="13"/>
      <x:c r="G329" s="13"/>
      <x:c r="H329" s="13"/>
      <x:c r="I329" s="12"/>
      <x:c r="J329" s="12"/>
      <x:c r="K329" s="12"/>
      <x:c r="L329" s="12"/>
      <x:c r="M329" s="12"/>
    </x:row>
    <x:row r="330">
      <x:c r="A330" s="14"/>
      <x:c r="B330" s="12"/>
      <x:c r="C330" s="12"/>
      <x:c r="D330" s="12"/>
      <x:c r="E330" s="12"/>
      <x:c r="F330" s="13"/>
      <x:c r="G330" s="13"/>
      <x:c r="H330" s="13"/>
      <x:c r="I330" s="12"/>
      <x:c r="J330" s="12"/>
      <x:c r="K330" s="12"/>
      <x:c r="L330" s="12"/>
      <x:c r="M330" s="12"/>
    </x:row>
    <x:row r="331">
      <x:c r="A331" s="14"/>
      <x:c r="B331" s="12"/>
      <x:c r="C331" s="12"/>
      <x:c r="D331" s="12"/>
      <x:c r="E331" s="12"/>
      <x:c r="F331" s="13"/>
      <x:c r="G331" s="13"/>
      <x:c r="H331" s="13"/>
      <x:c r="I331" s="12"/>
      <x:c r="J331" s="12"/>
      <x:c r="K331" s="12"/>
      <x:c r="L331" s="12"/>
      <x:c r="M331" s="12"/>
    </x:row>
    <x:row r="332">
      <x:c r="A332" s="14"/>
      <x:c r="B332" s="12"/>
      <x:c r="C332" s="12"/>
      <x:c r="D332" s="12"/>
      <x:c r="E332" s="12"/>
      <x:c r="F332" s="13"/>
      <x:c r="G332" s="13"/>
      <x:c r="H332" s="13"/>
      <x:c r="I332" s="12"/>
      <x:c r="J332" s="12"/>
      <x:c r="K332" s="12"/>
      <x:c r="L332" s="12"/>
      <x:c r="M332" s="12"/>
    </x:row>
    <x:row r="333">
      <x:c r="A333" s="14"/>
      <x:c r="B333" s="12"/>
      <x:c r="C333" s="12"/>
      <x:c r="D333" s="12"/>
      <x:c r="E333" s="12"/>
      <x:c r="F333" s="13"/>
      <x:c r="G333" s="13"/>
      <x:c r="H333" s="13"/>
      <x:c r="I333" s="12"/>
      <x:c r="J333" s="12"/>
      <x:c r="K333" s="12"/>
      <x:c r="L333" s="12"/>
      <x:c r="M333" s="12"/>
    </x:row>
    <x:row r="334">
      <x:c r="A334" s="14"/>
      <x:c r="B334" s="12"/>
      <x:c r="C334" s="12"/>
      <x:c r="D334" s="12"/>
      <x:c r="E334" s="12"/>
      <x:c r="F334" s="13"/>
      <x:c r="G334" s="13"/>
      <x:c r="H334" s="13"/>
      <x:c r="I334" s="12"/>
      <x:c r="J334" s="12"/>
      <x:c r="K334" s="12"/>
      <x:c r="L334" s="12"/>
      <x:c r="M334" s="12"/>
    </x:row>
    <x:row r="335">
      <x:c r="A335" s="14"/>
      <x:c r="B335" s="12"/>
      <x:c r="C335" s="12"/>
      <x:c r="D335" s="12"/>
      <x:c r="E335" s="12"/>
      <x:c r="F335" s="13"/>
      <x:c r="G335" s="13"/>
      <x:c r="H335" s="13"/>
      <x:c r="I335" s="12"/>
      <x:c r="J335" s="12"/>
      <x:c r="K335" s="12"/>
      <x:c r="L335" s="12"/>
      <x:c r="M335" s="12"/>
    </x:row>
    <x:row r="336">
      <x:c r="A336" s="14"/>
      <x:c r="B336" s="12"/>
      <x:c r="C336" s="12"/>
      <x:c r="D336" s="12"/>
      <x:c r="E336" s="12"/>
      <x:c r="F336" s="13"/>
      <x:c r="G336" s="13"/>
      <x:c r="H336" s="13"/>
      <x:c r="I336" s="12"/>
      <x:c r="J336" s="12"/>
      <x:c r="K336" s="12"/>
      <x:c r="L336" s="12"/>
      <x:c r="M336" s="12"/>
    </x:row>
    <x:row r="337">
      <x:c r="A337" s="14"/>
      <x:c r="B337" s="12"/>
      <x:c r="C337" s="12"/>
      <x:c r="D337" s="12"/>
      <x:c r="E337" s="12"/>
      <x:c r="F337" s="13"/>
      <x:c r="G337" s="13"/>
      <x:c r="H337" s="13"/>
      <x:c r="I337" s="12"/>
      <x:c r="J337" s="12"/>
      <x:c r="K337" s="12"/>
      <x:c r="L337" s="12"/>
      <x:c r="M337" s="12"/>
    </x:row>
    <x:row r="338">
      <x:c r="A338" s="14"/>
      <x:c r="B338" s="12"/>
      <x:c r="C338" s="12"/>
      <x:c r="D338" s="12"/>
      <x:c r="E338" s="12"/>
      <x:c r="F338" s="13"/>
      <x:c r="G338" s="13"/>
      <x:c r="H338" s="13"/>
      <x:c r="I338" s="12"/>
      <x:c r="J338" s="12"/>
      <x:c r="K338" s="12"/>
      <x:c r="L338" s="12"/>
      <x:c r="M338" s="12"/>
    </x:row>
    <x:row r="339">
      <x:c r="A339" s="14"/>
      <x:c r="B339" s="12"/>
      <x:c r="C339" s="12"/>
      <x:c r="D339" s="12"/>
      <x:c r="E339" s="12"/>
      <x:c r="F339" s="13"/>
      <x:c r="G339" s="13"/>
      <x:c r="H339" s="13"/>
      <x:c r="I339" s="12"/>
      <x:c r="J339" s="12"/>
      <x:c r="K339" s="12"/>
      <x:c r="L339" s="12"/>
      <x:c r="M339" s="12"/>
    </x:row>
    <x:row r="340">
      <x:c r="A340" s="14"/>
      <x:c r="B340" s="12"/>
      <x:c r="C340" s="12"/>
      <x:c r="D340" s="12"/>
      <x:c r="E340" s="12"/>
      <x:c r="F340" s="13"/>
      <x:c r="G340" s="13"/>
      <x:c r="H340" s="13"/>
      <x:c r="I340" s="12"/>
      <x:c r="J340" s="12"/>
      <x:c r="K340" s="12"/>
      <x:c r="L340" s="12"/>
      <x:c r="M340" s="12"/>
    </x:row>
    <x:row r="341">
      <x:c r="A341" s="14"/>
      <x:c r="B341" s="12"/>
      <x:c r="C341" s="12"/>
      <x:c r="D341" s="12"/>
      <x:c r="E341" s="12"/>
      <x:c r="F341" s="13"/>
      <x:c r="G341" s="13"/>
      <x:c r="H341" s="13"/>
      <x:c r="I341" s="12"/>
      <x:c r="J341" s="12"/>
      <x:c r="K341" s="12"/>
      <x:c r="L341" s="12"/>
      <x:c r="M341" s="12"/>
    </x:row>
    <x:row r="342">
      <x:c r="A342" s="14"/>
      <x:c r="B342" s="12"/>
      <x:c r="C342" s="12"/>
      <x:c r="D342" s="12"/>
      <x:c r="E342" s="12"/>
      <x:c r="F342" s="13"/>
      <x:c r="G342" s="13"/>
      <x:c r="H342" s="13"/>
      <x:c r="I342" s="12"/>
      <x:c r="J342" s="12"/>
      <x:c r="K342" s="12"/>
      <x:c r="L342" s="12"/>
      <x:c r="M342" s="12"/>
    </x:row>
    <x:row r="343">
      <x:c r="A343" s="14"/>
      <x:c r="B343" s="12"/>
      <x:c r="C343" s="12"/>
      <x:c r="D343" s="12"/>
      <x:c r="E343" s="12"/>
      <x:c r="F343" s="13"/>
      <x:c r="G343" s="13"/>
      <x:c r="H343" s="13"/>
      <x:c r="I343" s="12"/>
      <x:c r="J343" s="12"/>
      <x:c r="K343" s="12"/>
      <x:c r="L343" s="12"/>
      <x:c r="M343" s="12"/>
    </x:row>
    <x:row r="344">
      <x:c r="A344" s="14"/>
      <x:c r="B344" s="12"/>
      <x:c r="C344" s="12"/>
      <x:c r="D344" s="12"/>
      <x:c r="E344" s="12"/>
      <x:c r="F344" s="13"/>
      <x:c r="G344" s="13"/>
      <x:c r="H344" s="13"/>
      <x:c r="I344" s="12"/>
      <x:c r="J344" s="12"/>
      <x:c r="K344" s="12"/>
      <x:c r="L344" s="12"/>
      <x:c r="M344" s="12"/>
    </x:row>
    <x:row r="345">
      <x:c r="A345" s="14"/>
      <x:c r="B345" s="12"/>
      <x:c r="C345" s="12"/>
      <x:c r="D345" s="12"/>
      <x:c r="E345" s="12"/>
      <x:c r="F345" s="13"/>
      <x:c r="G345" s="13"/>
      <x:c r="H345" s="13"/>
      <x:c r="I345" s="12"/>
      <x:c r="J345" s="12"/>
      <x:c r="K345" s="12"/>
      <x:c r="L345" s="12"/>
      <x:c r="M345" s="12"/>
    </x:row>
    <x:row r="346">
      <x:c r="A346" s="14"/>
      <x:c r="B346" s="12"/>
      <x:c r="C346" s="12"/>
      <x:c r="D346" s="12"/>
      <x:c r="E346" s="12"/>
      <x:c r="F346" s="13"/>
      <x:c r="G346" s="13"/>
      <x:c r="H346" s="13"/>
      <x:c r="I346" s="12"/>
      <x:c r="J346" s="12"/>
      <x:c r="K346" s="12"/>
      <x:c r="L346" s="12"/>
      <x:c r="M346" s="12"/>
    </x:row>
    <x:row r="347">
      <x:c r="A347" s="14"/>
      <x:c r="B347" s="12"/>
      <x:c r="C347" s="12"/>
      <x:c r="D347" s="12"/>
      <x:c r="E347" s="12"/>
      <x:c r="F347" s="13"/>
      <x:c r="G347" s="13"/>
      <x:c r="H347" s="13"/>
      <x:c r="I347" s="12"/>
      <x:c r="J347" s="12"/>
      <x:c r="K347" s="12"/>
      <x:c r="L347" s="12"/>
      <x:c r="M347" s="12"/>
    </x:row>
  </x:sheetData>
  <x:mergeCells>
    <x:mergeCell ref="A1:M1"/>
    <x:mergeCell ref="A2:M2"/>
  </x:mergeCells>
  <x:conditionalFormatting sqref="I5:I347">
    <x:cfRule type="expression" dxfId="0" priority="1">
      <x:formula>I5="OUT"</x:formula>
    </x:cfRule>
  </x:conditionalFormatting>
  <x:conditionalFormatting sqref="M5:M347">
    <x:cfRule type="expression" dxfId="1" priority="2">
      <x:formula>M5="↑"</x:formula>
    </x:cfRule>
    <x:cfRule type="expression" dxfId="2" priority="3">
      <x:formula>M5="↓"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24" hidden="0" customWidth="1"/>
    <x:col min="2" max="2" width="4.329999923706055" hidden="0" customWidth="1"/>
    <x:col min="3" max="3" width="3.2200000286102295" hidden="0" customWidth="1"/>
    <x:col min="4" max="4" width="3.559999942779541" hidden="0" customWidth="1"/>
    <x:col min="5" max="5" width="4.889999866485596" hidden="0" customWidth="1"/>
    <x:col min="6" max="6" width="8.220000267028809" hidden="0" customWidth="1"/>
    <x:col min="7" max="7" width="7.329999923706055" hidden="0" customWidth="1"/>
    <x:col min="8" max="8" width="10.890000343322754" hidden="0" customWidth="1"/>
    <x:col min="9" max="9" width="11.890000343322754" hidden="0" customWidth="1"/>
    <x:col min="10" max="10" width="10.329999923706055" hidden="0" customWidth="1"/>
    <x:col min="11" max="11" width="8.329999923706055" hidden="0" customWidth="1"/>
    <x:col min="12" max="12" width="6.440000057220459" hidden="0" customWidth="1"/>
    <x:col min="13" max="13" width="4.670000076293945" hidden="0" customWidth="1"/>
    <x:col min="14" max="14" width="7.110000133514404" hidden="0" customWidth="1"/>
    <x:col min="15" max="15" width="6.329999923706055" hidden="0" customWidth="1"/>
    <x:col min="16" max="16" width="3.109999895095825" hidden="0" customWidth="1"/>
    <x:col min="17" max="17" width="12.220000267028809" hidden="0" customWidth="1"/>
    <x:col min="18" max="18" width="12.890000343322754" hidden="0" customWidth="1"/>
    <x:col min="19" max="19" width="12.109999656677246" hidden="0" customWidth="1"/>
    <x:col min="20" max="20" width="8.109999656677246" hidden="0" customWidth="1"/>
    <x:col min="21" max="21" width="9.890000343322754" hidden="0" customWidth="1"/>
    <x:col min="22" max="22" width="9.109999656677246" hidden="0" customWidth="1"/>
    <x:col min="23" max="23" width="5.889999866485596" hidden="0" customWidth="1"/>
    <x:col min="24" max="24" width="8.4399995803833" hidden="0" customWidth="1"/>
    <x:col min="25" max="25" width="10.670000076293945" hidden="0" customWidth="1"/>
    <x:col min="26" max="26" width="9.890000343322754" hidden="0" customWidth="1"/>
    <x:col min="27" max="27" width="5.559999942779541" hidden="0" customWidth="1"/>
    <x:col min="28" max="28" width="6.440000057220459" hidden="0" customWidth="1"/>
    <x:col min="29" max="29" width="5.889999866485596" hidden="0" customWidth="1"/>
    <x:col min="30" max="30" width="6.78000020980835" hidden="0" customWidth="1"/>
    <x:col min="31" max="31" width="5.440000057220459" hidden="0" customWidth="1"/>
    <x:col min="32" max="32" width="3.109999895095825" hidden="0" customWidth="1"/>
    <x:col min="33" max="33" width="4.78000020980835" hidden="0" customWidth="1"/>
    <x:col min="34" max="34" width="8.329999923706055" hidden="0" customWidth="1"/>
    <x:col min="35" max="35" width="5.21999979019165" hidden="0" customWidth="1"/>
    <x:col min="36" max="36" width="11.109999656677246" hidden="0" customWidth="1"/>
    <x:col min="37" max="37" width="10.670000076293945" hidden="0" customWidth="1"/>
    <x:col min="38" max="38" width="10.4399995803833" hidden="0" customWidth="1"/>
    <x:col min="39" max="39" width="13.220000267028809" hidden="0" customWidth="1"/>
    <x:col min="40" max="40" width="8.670000076293945" hidden="0" customWidth="1"/>
    <x:col min="41" max="41" width="18.219999313354492" hidden="0" customWidth="1"/>
    <x:col min="42" max="42" width="14.670000076293945" hidden="0" customWidth="1"/>
    <x:col min="43" max="43" width="12.4399995803833" hidden="0" customWidth="1"/>
    <x:col min="44" max="44" width="9.890000343322754" hidden="0" customWidth="1"/>
    <x:col min="45" max="45" width="16" hidden="0" customWidth="1"/>
    <x:col min="46" max="46" width="11.329999923706055" hidden="0" customWidth="1"/>
    <x:col min="47" max="47" width="11.890000343322754" hidden="0" customWidth="1"/>
    <x:col min="48" max="48" width="8.890000343322754" hidden="0" customWidth="1"/>
    <x:col min="49" max="49" width="9.329999923706055" hidden="0" customWidth="1"/>
    <x:col min="50" max="50" width="4.21999979019165" hidden="0" customWidth="1"/>
    <x:col min="51" max="51" width="5.440000057220459" hidden="0" customWidth="1"/>
    <x:col min="52" max="52" width="8.5600004196167" hidden="0" customWidth="1"/>
    <x:col min="53" max="53" width="3.2200000286102295" hidden="0" customWidth="1"/>
    <x:col min="54" max="54" width="8" hidden="0" customWidth="1"/>
    <x:col min="55" max="55" width="10.779999732971191" hidden="0" customWidth="1"/>
    <x:col min="56" max="56" width="6.889999866485596" hidden="0" customWidth="1"/>
    <x:col min="57" max="57" width="42" hidden="0" customWidth="1"/>
    <x:col min="58" max="58" width="42" hidden="0" customWidth="1"/>
    <x:col min="59" max="59" width="42" hidden="0" customWidth="1"/>
    <x:col min="60" max="60" width="21" hidden="0" customWidth="1"/>
  </x:cols>
  <x:sheetData>
    <x:row r="1">
      <x:c r="A1" s="9" t="str">
        <x:v>Player</x:v>
      </x:c>
      <x:c r="B1" s="9" t="str">
        <x:v>Team</x:v>
      </x:c>
      <x:c r="C1" s="9" t="str">
        <x:v>Pos</x:v>
      </x:c>
      <x:c r="D1" s="9" t="str">
        <x:v>Opp</x:v>
      </x:c>
      <x:c r="E1" s="9" t="str">
        <x:v>Venue</x:v>
      </x:c>
      <x:c r="F1" s="9" t="str">
        <x:v>Game Date</x:v>
      </x:c>
      <x:c r="G1" s="9" t="str">
        <x:v>Play Prob</x:v>
      </x:c>
      <x:c r="H1" s="9" t="str">
        <x:v>Status</x:v>
      </x:c>
      <x:c r="I1" s="9" t="str">
        <x:v>Expected Snaps</x:v>
      </x:c>
      <x:c r="J1" s="9" t="str">
        <x:v>Role Metric</x:v>
      </x:c>
      <x:c r="K1" s="9" t="str">
        <x:v>Role Value</x:v>
      </x:c>
      <x:c r="L1" s="9" t="str">
        <x:v>Pass Att</x:v>
      </x:c>
      <x:c r="M1" s="9" t="str">
        <x:v>Comp</x:v>
      </x:c>
      <x:c r="N1" s="9" t="str">
        <x:v>Pass Yds</x:v>
      </x:c>
      <x:c r="O1" s="9" t="str">
        <x:v>Pass TD</x:v>
      </x:c>
      <x:c r="P1" s="9" t="str">
        <x:v>INT</x:v>
      </x:c>
      <x:c r="Q1" s="9" t="str">
        <x:v>QB/WR Rush Att</x:v>
      </x:c>
      <x:c r="R1" s="9" t="str">
        <x:v>QB/WR Rush Yds</x:v>
      </x:c>
      <x:c r="S1" s="9" t="str">
        <x:v>QB/WR Rush TD</x:v>
      </x:c>
      <x:c r="T1" s="9" t="str">
        <x:v>RB Carries</x:v>
      </x:c>
      <x:c r="U1" s="9" t="str">
        <x:v>RB Rush Yds</x:v>
      </x:c>
      <x:c r="V1" s="9" t="str">
        <x:v>RB Rush TD</x:v>
      </x:c>
      <x:c r="W1" s="9" t="str">
        <x:v>Targets</x:v>
      </x:c>
      <x:c r="X1" s="9" t="str">
        <x:v>Receptions</x:v>
      </x:c>
      <x:c r="Y1" s="9" t="str">
        <x:v>Receiving Yds</x:v>
      </x:c>
      <x:c r="Z1" s="9" t="str">
        <x:v>Receiving TD</x:v>
      </x:c>
      <x:c r="AA1" s="9" t="str">
        <x:v>Routes</x:v>
      </x:c>
      <x:c r="AB1" s="9" t="str">
        <x:v>Route %</x:v>
      </x:c>
      <x:c r="AC1" s="9" t="str">
        <x:v>FG 0-39</x:v>
      </x:c>
      <x:c r="AD1" s="9" t="str">
        <x:v>FG 40-49</x:v>
      </x:c>
      <x:c r="AE1" s="9" t="str">
        <x:v>FG 50+</x:v>
      </x:c>
      <x:c r="AF1" s="9" t="str">
        <x:v>XP</x:v>
      </x:c>
      <x:c r="AG1" s="9" t="str">
        <x:v>Sacks</x:v>
      </x:c>
      <x:c r="AH1" s="9" t="str">
        <x:v>Takeaways</x:v>
      </x:c>
      <x:c r="AI1" s="9" t="str">
        <x:v>Def TD</x:v>
      </x:c>
      <x:c r="AJ1" s="9" t="str">
        <x:v>Points Allowed</x:v>
      </x:c>
      <x:c r="AK1" s="9" t="str">
        <x:v>Yards Allowed</x:v>
      </x:c>
      <x:c r="AL1" s="9" t="str">
        <x:v>DST PA Score</x:v>
      </x:c>
      <x:c r="AM1" s="9" t="str">
        <x:v>Availability Factor</x:v>
      </x:c>
      <x:c r="AN1" s="9" t="str">
        <x:v>Role Factor</x:v>
      </x:c>
      <x:c r="AO1" s="9" t="str">
        <x:v>Teammate Redistribution</x:v>
      </x:c>
      <x:c r="AP1" s="9" t="str">
        <x:v>QB/OL Environment</x:v>
      </x:c>
      <x:c r="AQ1" s="9" t="str">
        <x:v>Opponent Factor</x:v>
      </x:c>
      <x:c r="AR1" s="9" t="str">
        <x:v>Pace/Scoring</x:v>
      </x:c>
      <x:c r="AS1" s="9" t="str">
        <x:v>Efficiency Regression</x:v>
      </x:c>
      <x:c r="AT1" s="9" t="str">
        <x:v>Weather Factor</x:v>
      </x:c>
      <x:c r="AU1" s="9" t="str">
        <x:v>Manual ACE Pts</x:v>
      </x:c>
      <x:c r="AV1" s="9" t="str">
        <x:v>Baseline FP</x:v>
      </x:c>
      <x:c r="AW1" s="9" t="str">
        <x:v>Expected FP</x:v>
      </x:c>
      <x:c r="AX1" s="9" t="str">
        <x:v>Floor</x:v>
      </x:c>
      <x:c r="AY1" s="9" t="str">
        <x:v>Ceiling</x:v>
      </x:c>
      <x:c r="AZ1" s="9" t="str">
        <x:v>Confidence</x:v>
      </x:c>
      <x:c r="BA1" s="9" t="str">
        <x:v>Tier</x:v>
      </x:c>
      <x:c r="BB1" s="9" t="str">
        <x:v>Final Rank</x:v>
      </x:c>
      <x:c r="BC1" s="9" t="str">
        <x:v>Previous Rank</x:v>
      </x:c>
      <x:c r="BD1" s="9" t="str">
        <x:v>Direction</x:v>
      </x:c>
      <x:c r="BE1" s="9" t="str">
        <x:v>Source/Evidence</x:v>
      </x:c>
      <x:c r="BF1" s="9" t="str">
        <x:v>Adjustment Rationale</x:v>
      </x:c>
      <x:c r="BG1" s="9" t="str">
        <x:v>Next Checkpoint</x:v>
      </x:c>
      <x:c r="BH1" s="9" t="str">
        <x:v>Timestamp</x:v>
      </x:c>
    </x:row>
    <x:row r="2">
      <x:c r="A2" s="12" t="str">
        <x:v>Josh Allen</x:v>
      </x:c>
      <x:c r="B2" s="12" t="str">
        <x:v>BUF</x:v>
      </x:c>
      <x:c r="C2" s="12" t="str">
        <x:v>QB</x:v>
      </x:c>
      <x:c r="D2" s="12" t="str">
        <x:v>LAC</x:v>
      </x:c>
      <x:c r="E2" s="12" t="str">
        <x:v>Home</x:v>
      </x:c>
      <x:c r="F2" s="12" t="str">
        <x:v>2026-09-27</x:v>
      </x:c>
      <x:c r="G2" s="19" t="n">
        <x:v>1</x:v>
      </x:c>
      <x:c r="H2" s="20" t="str">
        <x:v>ACTIVE</x:v>
      </x:c>
      <x:c r="I2" s="20" t="n">
        <x:v>62</x:v>
      </x:c>
      <x:c r="J2" s="20" t="str">
        <x:v>Dropbacks</x:v>
      </x:c>
      <x:c r="K2" s="20" t="n">
        <x:v>42.87374301675978</x:v>
      </x:c>
      <x:c r="L2" s="21" t="n">
        <x:v>37.899441340782126</x:v>
      </x:c>
      <x:c r="M2" s="21" t="n">
        <x:v>24.87150837988827</x:v>
      </x:c>
      <x:c r="N2" s="21" t="n">
        <x:v>289.7033296089386</x:v>
      </x:c>
      <x:c r="O2" s="21" t="n">
        <x:v>1.8106458100558664</x:v>
      </x:c>
      <x:c r="P2" s="21" t="n">
        <x:v>0.829050279329609</x:v>
      </x:c>
      <x:c r="Q2" s="21" t="n">
        <x:v>4.974301675977654</x:v>
      </x:c>
      <x:c r="R2" s="21" t="n">
        <x:v>30.177430167597773</x:v>
      </x:c>
      <x:c r="S2" s="21" t="n">
        <x:v>0.24141944134078216</x:v>
      </x:c>
      <x:c r="T2" s="21" t="n">
        <x:v>0</x:v>
      </x:c>
      <x:c r="U2" s="21" t="n">
        <x:v>0</x:v>
      </x:c>
      <x:c r="V2" s="21" t="n">
        <x:v>0</x:v>
      </x:c>
      <x:c r="W2" s="21" t="n">
        <x:v>0</x:v>
      </x:c>
      <x:c r="X2" s="21" t="n">
        <x:v>0</x:v>
      </x:c>
      <x:c r="Y2" s="21" t="n">
        <x:v>0</x:v>
      </x:c>
      <x:c r="Z2" s="21" t="n">
        <x:v>0</x:v>
      </x:c>
      <x:c r="AA2" s="21" t="n">
        <x:v>0</x:v>
      </x:c>
      <x:c r="AB2" s="21" t="n">
        <x:v>0</x:v>
      </x:c>
      <x:c r="AC2" s="21" t="n">
        <x:v>0</x:v>
      </x:c>
      <x:c r="AD2" s="21" t="n">
        <x:v>0</x:v>
      </x:c>
      <x:c r="AE2" s="21" t="n">
        <x:v>0</x:v>
      </x:c>
      <x:c r="AF2" s="21" t="n">
        <x:v>0</x:v>
      </x:c>
      <x:c r="AG2" s="21" t="n">
        <x:v>0</x:v>
      </x:c>
      <x:c r="AH2" s="21" t="n">
        <x:v>0</x:v>
      </x:c>
      <x:c r="AI2" s="21" t="n">
        <x:v>0</x:v>
      </x:c>
      <x:c r="AJ2" s="21" t="n">
        <x:v>0</x:v>
      </x:c>
      <x:c r="AK2" s="21" t="n">
        <x:v>0</x:v>
      </x:c>
      <x:c r="AL2" s="21" t="n">
        <x:v>0</x:v>
      </x:c>
      <x:c r="AM2" s="21" t="n">
        <x:v>1</x:v>
      </x:c>
      <x:c r="AN2" s="21" t="n">
        <x:v>1</x:v>
      </x:c>
      <x:c r="AO2" s="21" t="n">
        <x:v>1</x:v>
      </x:c>
      <x:c r="AP2" s="21" t="n">
        <x:v>1.04</x:v>
      </x:c>
      <x:c r="AQ2" s="21" t="n">
        <x:v>0.98</x:v>
      </x:c>
      <x:c r="AR2" s="21" t="n">
        <x:v>1</x:v>
      </x:c>
      <x:c r="AS2" s="21" t="n">
        <x:v>1</x:v>
      </x:c>
      <x:c r="AT2" s="21" t="n">
        <x:v>1</x:v>
      </x:c>
      <x:c r="AU2" s="21" t="n">
        <x:v>0</x:v>
      </x:c>
      <x:c r="AV2" s="22" t="n">
        <x:f>IF(C2="QB",N2*0.04+O2*4-P2*2+R2*0.1+S2*6,IF(OR(C2="RB",C2="WR",C2="TE"),U2*0.1+V2*6+R2*0.1+S2*6+X2*0.5+Y2*0.1+Z2*6,IF(C2="K",AC2*3+AD2*4+AE2*5+AF2,IF(C2="DST",AG2+AH2*2+AI2*6+AL2,0))))</x:f>
        <x:v>21.63887553072626</x:v>
      </x:c>
      <x:c r="AW2" s="22" t="n">
        <x:f>(AV2+AU2)*G2</x:f>
        <x:v>21.63887553072626</x:v>
      </x:c>
      <x:c r="AX2" s="22" t="n">
        <x:f>MAX(0,AW2*IF(C2="QB",0.68,IF(C2="RB",0.58,IF(C2="WR",0.52,IF(C2="TE",0.50,IF(C2="K",0.55,0.40))))))</x:f>
        <x:v>14.714435360893857</x:v>
      </x:c>
      <x:c r="AY2" s="22" t="n">
        <x:f>AW2*IF(C2="QB",1.32,IF(C2="RB",1.45,IF(C2="WR",1.55,IF(C2="TE",1.60,IF(C2="K",1.45,1.65)))))</x:f>
        <x:v>28.563315700558665</x:v>
      </x:c>
      <x:c r="AZ2" s="12" t="str">
        <x:v>High</x:v>
      </x:c>
      <x:c r="BA2" s="12" t="n">
        <x:v>1</x:v>
      </x:c>
      <x:c r="BB2" s="12" t="n">
        <x:f>COUNTIFS($C$2:$C$344,C2,$AW$2:$AW$344,"&gt;"&amp;AW2,$G$2:$G$344,"&gt;0")+COUNTIFS($C$2:C2,C2,$AW$2:AW2,AW2,$G$2:G2,"&gt;0")</x:f>
        <x:v>1</x:v>
      </x:c>
      <x:c r="BC2" s="12" t="n">
        <x:v>1</x:v>
      </x:c>
      <x:c r="BD2" s="12" t="str">
        <x:f>IF(BB2&lt;BC2,"↑",IF(BB2&gt;BC2,"↓","→"))</x:f>
        <x:v>→</x:v>
      </x:c>
      <x:c r="BE2" s="23" t="str">
        <x:v>Fantasy Football Brief ROS baseline; official NFL schedule</x:v>
      </x:c>
      <x:c r="BF2" s="23" t="str">
        <x:v>Current role and availability baseline; all adjustment factors shown numerically</x:v>
      </x:c>
      <x:c r="BG2" s="23" t="str">
        <x:v>Material injury, depth-chart, or role change</x:v>
      </x:c>
      <x:c r="BH2" s="24" t="str">
        <x:v>2026-09-23 10:35 CT</x:v>
      </x:c>
    </x:row>
    <x:row r="3">
      <x:c r="A3" s="12" t="str">
        <x:v>Lamar Jackson</x:v>
      </x:c>
      <x:c r="B3" s="12" t="str">
        <x:v>BAL</x:v>
      </x:c>
      <x:c r="C3" s="12" t="str">
        <x:v>QB</x:v>
      </x:c>
      <x:c r="D3" s="12" t="str">
        <x:v>DAL</x:v>
      </x:c>
      <x:c r="E3" s="12" t="str">
        <x:v>Away</x:v>
      </x:c>
      <x:c r="F3" s="12" t="str">
        <x:v>2026-09-27</x:v>
      </x:c>
      <x:c r="G3" s="19" t="n">
        <x:v>1</x:v>
      </x:c>
      <x:c r="H3" s="20" t="str">
        <x:v>ACTIVE</x:v>
      </x:c>
      <x:c r="I3" s="20" t="n">
        <x:v>62</x:v>
      </x:c>
      <x:c r="J3" s="20" t="str">
        <x:v>Dropbacks</x:v>
      </x:c>
      <x:c r="K3" s="20" t="n">
        <x:v>37.61564245810057</x:v>
      </x:c>
      <x:c r="L3" s="21" t="n">
        <x:v>33.2513966480447</x:v>
      </x:c>
      <x:c r="M3" s="21" t="n">
        <x:v>21.82122905027933</x:v>
      </x:c>
      <x:c r="N3" s="21" t="n">
        <x:v>272.3289385474861</x:v>
      </x:c>
      <x:c r="O3" s="21" t="n">
        <x:v>1.702055865921788</x:v>
      </x:c>
      <x:c r="P3" s="21" t="n">
        <x:v>0.7273743016759777</x:v>
      </x:c>
      <x:c r="Q3" s="21" t="n">
        <x:v>4.364245810055866</x:v>
      </x:c>
      <x:c r="R3" s="21" t="n">
        <x:v>28.367597765363133</x:v>
      </x:c>
      <x:c r="S3" s="21" t="n">
        <x:v>0.22694078212290508</x:v>
      </x:c>
      <x:c r="T3" s="21" t="n">
        <x:v>0</x:v>
      </x:c>
      <x:c r="U3" s="21" t="n">
        <x:v>0</x:v>
      </x:c>
      <x:c r="V3" s="21" t="n">
        <x:v>0</x:v>
      </x:c>
      <x:c r="W3" s="21" t="n">
        <x:v>0</x:v>
      </x:c>
      <x:c r="X3" s="21" t="n">
        <x:v>0</x:v>
      </x:c>
      <x:c r="Y3" s="21" t="n">
        <x:v>0</x:v>
      </x:c>
      <x:c r="Z3" s="21" t="n">
        <x:v>0</x:v>
      </x:c>
      <x:c r="AA3" s="21" t="n">
        <x:v>0</x:v>
      </x:c>
      <x:c r="AB3" s="21" t="n">
        <x:v>0</x:v>
      </x:c>
      <x:c r="AC3" s="21" t="n">
        <x:v>0</x:v>
      </x:c>
      <x:c r="AD3" s="21" t="n">
        <x:v>0</x:v>
      </x:c>
      <x:c r="AE3" s="21" t="n">
        <x:v>0</x:v>
      </x:c>
      <x:c r="AF3" s="21" t="n">
        <x:v>0</x:v>
      </x:c>
      <x:c r="AG3" s="21" t="n">
        <x:v>0</x:v>
      </x:c>
      <x:c r="AH3" s="21" t="n">
        <x:v>0</x:v>
      </x:c>
      <x:c r="AI3" s="21" t="n">
        <x:v>0</x:v>
      </x:c>
      <x:c r="AJ3" s="21" t="n">
        <x:v>0</x:v>
      </x:c>
      <x:c r="AK3" s="21" t="n">
        <x:v>0</x:v>
      </x:c>
      <x:c r="AL3" s="21" t="n">
        <x:v>0</x:v>
      </x:c>
      <x:c r="AM3" s="21" t="n">
        <x:v>1</x:v>
      </x:c>
      <x:c r="AN3" s="21" t="n">
        <x:v>1</x:v>
      </x:c>
      <x:c r="AO3" s="21" t="n">
        <x:v>1</x:v>
      </x:c>
      <x:c r="AP3" s="21" t="n">
        <x:v>1.04</x:v>
      </x:c>
      <x:c r="AQ3" s="21" t="n">
        <x:v>1.05</x:v>
      </x:c>
      <x:c r="AR3" s="21" t="n">
        <x:v>1</x:v>
      </x:c>
      <x:c r="AS3" s="21" t="n">
        <x:v>1</x:v>
      </x:c>
      <x:c r="AT3" s="21" t="n">
        <x:v>1</x:v>
      </x:c>
      <x:c r="AU3" s="21" t="n">
        <x:v>0</x:v>
      </x:c>
      <x:c r="AV3" s="22" t="n">
        <x:f>IF(C3="QB",N3*0.04+O3*4-P3*2+R3*0.1+S3*6,IF(OR(C3="RB",C3="WR",C3="TE"),U3*0.1+V3*6+R3*0.1+S3*6+X3*0.5+Y3*0.1+Z3*6,IF(C3="K",AC3*3+AD3*4+AE3*5+AF3,IF(C3="DST",AG3+AH3*2+AI3*6+AL3,0))))</x:f>
        <x:v>20.445036871508382</x:v>
      </x:c>
      <x:c r="AW3" s="22" t="n">
        <x:f>(AV3+AU3)*G3</x:f>
        <x:v>20.445036871508382</x:v>
      </x:c>
      <x:c r="AX3" s="22" t="n">
        <x:f>MAX(0,AW3*IF(C3="QB",0.68,IF(C3="RB",0.58,IF(C3="WR",0.52,IF(C3="TE",0.50,IF(C3="K",0.55,0.40))))))</x:f>
        <x:v>13.902625072625701</x:v>
      </x:c>
      <x:c r="AY3" s="22" t="n">
        <x:f>AW3*IF(C3="QB",1.32,IF(C3="RB",1.45,IF(C3="WR",1.55,IF(C3="TE",1.60,IF(C3="K",1.45,1.65)))))</x:f>
        <x:v>26.987448670391064</x:v>
      </x:c>
      <x:c r="AZ3" s="12" t="str">
        <x:v>High</x:v>
      </x:c>
      <x:c r="BA3" s="12" t="n">
        <x:v>1</x:v>
      </x:c>
      <x:c r="BB3" s="12" t="n">
        <x:f>COUNTIFS($C$2:$C$344,C3,$AW$2:$AW$344,"&gt;"&amp;AW3,$G$2:$G$344,"&gt;0")+COUNTIFS($C$2:C3,C3,$AW$2:AW3,AW3,$G$2:G3,"&gt;0")</x:f>
        <x:v>2</x:v>
      </x:c>
      <x:c r="BC3" s="12" t="n">
        <x:v>2</x:v>
      </x:c>
      <x:c r="BD3" s="12" t="str">
        <x:f>IF(BB3&lt;BC3,"↑",IF(BB3&gt;BC3,"↓","→"))</x:f>
        <x:v>→</x:v>
      </x:c>
      <x:c r="BE3" s="23" t="str">
        <x:v>Fantasy Football Brief ROS baseline; official NFL schedule</x:v>
      </x:c>
      <x:c r="BF3" s="23" t="str">
        <x:v>Current role and availability baseline; all adjustment factors shown numerically</x:v>
      </x:c>
      <x:c r="BG3" s="23" t="str">
        <x:v>Material injury, depth-chart, or role change</x:v>
      </x:c>
      <x:c r="BH3" s="24" t="str">
        <x:v>2026-09-23 10:35 CT</x:v>
      </x:c>
    </x:row>
    <x:row r="4">
      <x:c r="A4" s="12" t="str">
        <x:v>Jalen Hurts</x:v>
      </x:c>
      <x:c r="B4" s="12" t="str">
        <x:v>PHI</x:v>
      </x:c>
      <x:c r="C4" s="12" t="str">
        <x:v>QB</x:v>
      </x:c>
      <x:c r="D4" s="12" t="str">
        <x:v>CHI</x:v>
      </x:c>
      <x:c r="E4" s="12" t="str">
        <x:v>Away</x:v>
      </x:c>
      <x:c r="F4" s="12" t="str">
        <x:v>2026-09-28</x:v>
      </x:c>
      <x:c r="G4" s="19" t="n">
        <x:v>1</x:v>
      </x:c>
      <x:c r="H4" s="20" t="str">
        <x:v>ACTIVE</x:v>
      </x:c>
      <x:c r="I4" s="20" t="n">
        <x:v>62</x:v>
      </x:c>
      <x:c r="J4" s="20" t="str">
        <x:v>Dropbacks</x:v>
      </x:c>
      <x:c r="K4" s="20" t="n">
        <x:v>37.41340782122905</x:v>
      </x:c>
      <x:c r="L4" s="21" t="n">
        <x:v>33.072625698324025</x:v>
      </x:c>
      <x:c r="M4" s="21" t="n">
        <x:v>21.703910614525142</x:v>
      </x:c>
      <x:c r="N4" s="21" t="n">
        <x:v>260.59575418994416</x:v>
      </x:c>
      <x:c r="O4" s="21" t="n">
        <x:v>1.6287234636871508</x:v>
      </x:c>
      <x:c r="P4" s="21" t="n">
        <x:v>0.723463687150838</x:v>
      </x:c>
      <x:c r="Q4" s="21" t="n">
        <x:v>4.340782122905028</x:v>
      </x:c>
      <x:c r="R4" s="21" t="n">
        <x:v>27.145391061452514</x:v>
      </x:c>
      <x:c r="S4" s="21" t="n">
        <x:v>0.21716312849162014</x:v>
      </x:c>
      <x:c r="T4" s="21" t="n">
        <x:v>0</x:v>
      </x:c>
      <x:c r="U4" s="21" t="n">
        <x:v>0</x:v>
      </x:c>
      <x:c r="V4" s="21" t="n">
        <x:v>0</x:v>
      </x:c>
      <x:c r="W4" s="21" t="n">
        <x:v>0</x:v>
      </x:c>
      <x:c r="X4" s="21" t="n">
        <x:v>0</x:v>
      </x:c>
      <x:c r="Y4" s="21" t="n">
        <x:v>0</x:v>
      </x:c>
      <x:c r="Z4" s="21" t="n">
        <x:v>0</x:v>
      </x:c>
      <x:c r="AA4" s="21" t="n">
        <x:v>0</x:v>
      </x:c>
      <x:c r="AB4" s="21" t="n">
        <x:v>0</x:v>
      </x:c>
      <x:c r="AC4" s="21" t="n">
        <x:v>0</x:v>
      </x:c>
      <x:c r="AD4" s="21" t="n">
        <x:v>0</x:v>
      </x:c>
      <x:c r="AE4" s="21" t="n">
        <x:v>0</x:v>
      </x:c>
      <x:c r="AF4" s="21" t="n">
        <x:v>0</x:v>
      </x:c>
      <x:c r="AG4" s="21" t="n">
        <x:v>0</x:v>
      </x:c>
      <x:c r="AH4" s="21" t="n">
        <x:v>0</x:v>
      </x:c>
      <x:c r="AI4" s="21" t="n">
        <x:v>0</x:v>
      </x:c>
      <x:c r="AJ4" s="21" t="n">
        <x:v>0</x:v>
      </x:c>
      <x:c r="AK4" s="21" t="n">
        <x:v>0</x:v>
      </x:c>
      <x:c r="AL4" s="21" t="n">
        <x:v>0</x:v>
      </x:c>
      <x:c r="AM4" s="21" t="n">
        <x:v>1</x:v>
      </x:c>
      <x:c r="AN4" s="21" t="n">
        <x:v>1</x:v>
      </x:c>
      <x:c r="AO4" s="21" t="n">
        <x:v>1</x:v>
      </x:c>
      <x:c r="AP4" s="21" t="n">
        <x:v>1.03</x:v>
      </x:c>
      <x:c r="AQ4" s="21" t="n">
        <x:v>1.02</x:v>
      </x:c>
      <x:c r="AR4" s="21" t="n">
        <x:v>1</x:v>
      </x:c>
      <x:c r="AS4" s="21" t="n">
        <x:v>1</x:v>
      </x:c>
      <x:c r="AT4" s="21" t="n">
        <x:v>1</x:v>
      </x:c>
      <x:c r="AU4" s="21" t="n">
        <x:v>0</x:v>
      </x:c>
      <x:c r="AV4" s="22" t="n">
        <x:f>IF(C4="QB",N4*0.04+O4*4-P4*2+R4*0.1+S4*6,IF(OR(C4="RB",C4="WR",C4="TE"),U4*0.1+V4*6+R4*0.1+S4*6+X4*0.5+Y4*0.1+Z4*6,IF(C4="K",AC4*3+AD4*4+AE4*5+AF4,IF(C4="DST",AG4+AH4*2+AI4*6+AL4,0))))</x:f>
        <x:v>19.50931452513967</x:v>
      </x:c>
      <x:c r="AW4" s="22" t="n">
        <x:f>(AV4+AU4)*G4</x:f>
        <x:v>19.50931452513967</x:v>
      </x:c>
      <x:c r="AX4" s="22" t="n">
        <x:f>MAX(0,AW4*IF(C4="QB",0.68,IF(C4="RB",0.58,IF(C4="WR",0.52,IF(C4="TE",0.50,IF(C4="K",0.55,0.40))))))</x:f>
        <x:v>13.266333877094976</x:v>
      </x:c>
      <x:c r="AY4" s="22" t="n">
        <x:f>AW4*IF(C4="QB",1.32,IF(C4="RB",1.45,IF(C4="WR",1.55,IF(C4="TE",1.60,IF(C4="K",1.45,1.65)))))</x:f>
        <x:v>25.752295173184365</x:v>
      </x:c>
      <x:c r="AZ4" s="12" t="str">
        <x:v>High</x:v>
      </x:c>
      <x:c r="BA4" s="12" t="n">
        <x:v>1</x:v>
      </x:c>
      <x:c r="BB4" s="12" t="n">
        <x:f>COUNTIFS($C$2:$C$344,C4,$AW$2:$AW$344,"&gt;"&amp;AW4,$G$2:$G$344,"&gt;0")+COUNTIFS($C$2:C4,C4,$AW$2:AW4,AW4,$G$2:G4,"&gt;0")</x:f>
        <x:v>3</x:v>
      </x:c>
      <x:c r="BC4" s="12" t="n">
        <x:v>3</x:v>
      </x:c>
      <x:c r="BD4" s="12" t="str">
        <x:f>IF(BB4&lt;BC4,"↑",IF(BB4&gt;BC4,"↓","→"))</x:f>
        <x:v>→</x:v>
      </x:c>
      <x:c r="BE4" s="23" t="str">
        <x:v>Fantasy Football Brief ROS baseline; official NFL schedule</x:v>
      </x:c>
      <x:c r="BF4" s="23" t="str">
        <x:v>Current role and availability baseline; all adjustment factors shown numerically</x:v>
      </x:c>
      <x:c r="BG4" s="23" t="str">
        <x:v>Material injury, depth-chart, or role change</x:v>
      </x:c>
      <x:c r="BH4" s="24" t="str">
        <x:v>2026-09-23 10:35 CT</x:v>
      </x:c>
    </x:row>
    <x:row r="5">
      <x:c r="A5" s="12" t="str">
        <x:v>Jared Goff</x:v>
      </x:c>
      <x:c r="B5" s="12" t="str">
        <x:v>DET</x:v>
      </x:c>
      <x:c r="C5" s="12" t="str">
        <x:v>QB</x:v>
      </x:c>
      <x:c r="D5" s="12" t="str">
        <x:v>NYJ</x:v>
      </x:c>
      <x:c r="E5" s="12" t="str">
        <x:v>Home</x:v>
      </x:c>
      <x:c r="F5" s="12" t="str">
        <x:v>2026-09-27</x:v>
      </x:c>
      <x:c r="G5" s="19" t="n">
        <x:v>1</x:v>
      </x:c>
      <x:c r="H5" s="20" t="str">
        <x:v>ACTIVE</x:v>
      </x:c>
      <x:c r="I5" s="20" t="n">
        <x:v>62</x:v>
      </x:c>
      <x:c r="J5" s="20" t="str">
        <x:v>Dropbacks</x:v>
      </x:c>
      <x:c r="K5" s="20" t="n">
        <x:v>35.59329608938548</x:v>
      </x:c>
      <x:c r="L5" s="21" t="n">
        <x:v>31.463687150837995</x:v>
      </x:c>
      <x:c r="M5" s="21" t="n">
        <x:v>20.648044692737432</x:v>
      </x:c>
      <x:c r="N5" s="21" t="n">
        <x:v>250.3486927374302</x:v>
      </x:c>
      <x:c r="O5" s="21" t="n">
        <x:v>1.5646793296089387</x:v>
      </x:c>
      <x:c r="P5" s="21" t="n">
        <x:v>0.6882681564245811</x:v>
      </x:c>
      <x:c r="Q5" s="21" t="n">
        <x:v>4.129608938547487</x:v>
      </x:c>
      <x:c r="R5" s="21" t="n">
        <x:v>26.07798882681565</x:v>
      </x:c>
      <x:c r="S5" s="21" t="n">
        <x:v>0.20862391061452518</x:v>
      </x:c>
      <x:c r="T5" s="21" t="n">
        <x:v>0</x:v>
      </x:c>
      <x:c r="U5" s="21" t="n">
        <x:v>0</x:v>
      </x:c>
      <x:c r="V5" s="21" t="n">
        <x:v>0</x:v>
      </x:c>
      <x:c r="W5" s="21" t="n">
        <x:v>0</x:v>
      </x:c>
      <x:c r="X5" s="21" t="n">
        <x:v>0</x:v>
      </x:c>
      <x:c r="Y5" s="21" t="n">
        <x:v>0</x:v>
      </x:c>
      <x:c r="Z5" s="21" t="n">
        <x:v>0</x:v>
      </x:c>
      <x:c r="AA5" s="21" t="n">
        <x:v>0</x:v>
      </x:c>
      <x:c r="AB5" s="21" t="n">
        <x:v>0</x:v>
      </x:c>
      <x:c r="AC5" s="21" t="n">
        <x:v>0</x:v>
      </x:c>
      <x:c r="AD5" s="21" t="n">
        <x:v>0</x:v>
      </x:c>
      <x:c r="AE5" s="21" t="n">
        <x:v>0</x:v>
      </x:c>
      <x:c r="AF5" s="21" t="n">
        <x:v>0</x:v>
      </x:c>
      <x:c r="AG5" s="21" t="n">
        <x:v>0</x:v>
      </x:c>
      <x:c r="AH5" s="21" t="n">
        <x:v>0</x:v>
      </x:c>
      <x:c r="AI5" s="21" t="n">
        <x:v>0</x:v>
      </x:c>
      <x:c r="AJ5" s="21" t="n">
        <x:v>0</x:v>
      </x:c>
      <x:c r="AK5" s="21" t="n">
        <x:v>0</x:v>
      </x:c>
      <x:c r="AL5" s="21" t="n">
        <x:v>0</x:v>
      </x:c>
      <x:c r="AM5" s="21" t="n">
        <x:v>1</x:v>
      </x:c>
      <x:c r="AN5" s="21" t="n">
        <x:v>1</x:v>
      </x:c>
      <x:c r="AO5" s="21" t="n">
        <x:v>1</x:v>
      </x:c>
      <x:c r="AP5" s="21" t="n">
        <x:v>1.03</x:v>
      </x:c>
      <x:c r="AQ5" s="21" t="n">
        <x:v>1.03</x:v>
      </x:c>
      <x:c r="AR5" s="21" t="n">
        <x:v>1</x:v>
      </x:c>
      <x:c r="AS5" s="21" t="n">
        <x:v>1</x:v>
      </x:c>
      <x:c r="AT5" s="21" t="n">
        <x:v>1</x:v>
      </x:c>
      <x:c r="AU5" s="21" t="n">
        <x:v>0</x:v>
      </x:c>
      <x:c r="AV5" s="22" t="n">
        <x:f>IF(C5="QB",N5*0.04+O5*4-P5*2+R5*0.1+S5*6,IF(OR(C5="RB",C5="WR",C5="TE"),U5*0.1+V5*6+R5*0.1+S5*6+X5*0.5+Y5*0.1+Z5*6,IF(C5="K",AC5*3+AD5*4+AE5*5+AF5,IF(C5="DST",AG5+AH5*2+AI5*6+AL5,0))))</x:f>
        <x:v>18.75567106145252</x:v>
      </x:c>
      <x:c r="AW5" s="22" t="n">
        <x:f>(AV5+AU5)*G5</x:f>
        <x:v>18.75567106145252</x:v>
      </x:c>
      <x:c r="AX5" s="22" t="n">
        <x:f>MAX(0,AW5*IF(C5="QB",0.68,IF(C5="RB",0.58,IF(C5="WR",0.52,IF(C5="TE",0.50,IF(C5="K",0.55,0.40))))))</x:f>
        <x:v>12.753856321787715</x:v>
      </x:c>
      <x:c r="AY5" s="22" t="n">
        <x:f>AW5*IF(C5="QB",1.32,IF(C5="RB",1.45,IF(C5="WR",1.55,IF(C5="TE",1.60,IF(C5="K",1.45,1.65)))))</x:f>
        <x:v>24.75748580111733</x:v>
      </x:c>
      <x:c r="AZ5" s="12" t="str">
        <x:v>High</x:v>
      </x:c>
      <x:c r="BA5" s="12" t="n">
        <x:v>1</x:v>
      </x:c>
      <x:c r="BB5" s="12" t="n">
        <x:f>COUNTIFS($C$2:$C$344,C5,$AW$2:$AW$344,"&gt;"&amp;AW5,$G$2:$G$344,"&gt;0")+COUNTIFS($C$2:C5,C5,$AW$2:AW5,AW5,$G$2:G5,"&gt;0")</x:f>
        <x:v>4</x:v>
      </x:c>
      <x:c r="BC5" s="12" t="n">
        <x:v>4</x:v>
      </x:c>
      <x:c r="BD5" s="12" t="str">
        <x:f>IF(BB5&lt;BC5,"↑",IF(BB5&gt;BC5,"↓","→"))</x:f>
        <x:v>→</x:v>
      </x:c>
      <x:c r="BE5" s="23" t="str">
        <x:v>Fantasy Football Brief ROS baseline; official NFL schedule</x:v>
      </x:c>
      <x:c r="BF5" s="23" t="str">
        <x:v>Current role and availability baseline; all adjustment factors shown numerically</x:v>
      </x:c>
      <x:c r="BG5" s="23" t="str">
        <x:v>Material injury, depth-chart, or role change</x:v>
      </x:c>
      <x:c r="BH5" s="24" t="str">
        <x:v>2026-09-23 10:35 CT</x:v>
      </x:c>
    </x:row>
    <x:row r="6">
      <x:c r="A6" s="12" t="str">
        <x:v>Patrick Mahomes II</x:v>
      </x:c>
      <x:c r="B6" s="12" t="str">
        <x:v>KC</x:v>
      </x:c>
      <x:c r="C6" s="12" t="str">
        <x:v>QB</x:v>
      </x:c>
      <x:c r="D6" s="12" t="str">
        <x:v>MIA</x:v>
      </x:c>
      <x:c r="E6" s="12" t="str">
        <x:v>Away</x:v>
      </x:c>
      <x:c r="F6" s="12" t="str">
        <x:v>2026-09-27</x:v>
      </x:c>
      <x:c r="G6" s="19" t="n">
        <x:v>1</x:v>
      </x:c>
      <x:c r="H6" s="20" t="str">
        <x:v>ACTIVE</x:v>
      </x:c>
      <x:c r="I6" s="20" t="n">
        <x:v>62</x:v>
      </x:c>
      <x:c r="J6" s="20" t="str">
        <x:v>Dropbacks</x:v>
      </x:c>
      <x:c r="K6" s="20" t="n">
        <x:v>34.17765363128491</x:v>
      </x:c>
      <x:c r="L6" s="21" t="n">
        <x:v>30.212290502793294</x:v>
      </x:c>
      <x:c r="M6" s="21" t="n">
        <x:v>19.8268156424581</x:v>
      </x:c>
      <x:c r="N6" s="21" t="n">
        <x:v>240.39164245810053</x:v>
      </x:c>
      <x:c r="O6" s="21" t="n">
        <x:v>1.5024477653631283</x:v>
      </x:c>
      <x:c r="P6" s="21" t="n">
        <x:v>0.6608938547486033</x:v>
      </x:c>
      <x:c r="Q6" s="21" t="n">
        <x:v>3.96536312849162</x:v>
      </x:c>
      <x:c r="R6" s="21" t="n">
        <x:v>25.040796089385474</x:v>
      </x:c>
      <x:c r="S6" s="21" t="n">
        <x:v>0.20032636871508377</x:v>
      </x:c>
      <x:c r="T6" s="21" t="n">
        <x:v>0</x:v>
      </x:c>
      <x:c r="U6" s="21" t="n">
        <x:v>0</x:v>
      </x:c>
      <x:c r="V6" s="21" t="n">
        <x:v>0</x:v>
      </x:c>
      <x:c r="W6" s="21" t="n">
        <x:v>0</x:v>
      </x:c>
      <x:c r="X6" s="21" t="n">
        <x:v>0</x:v>
      </x:c>
      <x:c r="Y6" s="21" t="n">
        <x:v>0</x:v>
      </x:c>
      <x:c r="Z6" s="21" t="n">
        <x:v>0</x:v>
      </x:c>
      <x:c r="AA6" s="21" t="n">
        <x:v>0</x:v>
      </x:c>
      <x:c r="AB6" s="21" t="n">
        <x:v>0</x:v>
      </x:c>
      <x:c r="AC6" s="21" t="n">
        <x:v>0</x:v>
      </x:c>
      <x:c r="AD6" s="21" t="n">
        <x:v>0</x:v>
      </x:c>
      <x:c r="AE6" s="21" t="n">
        <x:v>0</x:v>
      </x:c>
      <x:c r="AF6" s="21" t="n">
        <x:v>0</x:v>
      </x:c>
      <x:c r="AG6" s="21" t="n">
        <x:v>0</x:v>
      </x:c>
      <x:c r="AH6" s="21" t="n">
        <x:v>0</x:v>
      </x:c>
      <x:c r="AI6" s="21" t="n">
        <x:v>0</x:v>
      </x:c>
      <x:c r="AJ6" s="21" t="n">
        <x:v>0</x:v>
      </x:c>
      <x:c r="AK6" s="21" t="n">
        <x:v>0</x:v>
      </x:c>
      <x:c r="AL6" s="21" t="n">
        <x:v>0</x:v>
      </x:c>
      <x:c r="AM6" s="21" t="n">
        <x:v>1</x:v>
      </x:c>
      <x:c r="AN6" s="21" t="n">
        <x:v>1</x:v>
      </x:c>
      <x:c r="AO6" s="21" t="n">
        <x:v>1</x:v>
      </x:c>
      <x:c r="AP6" s="21" t="n">
        <x:v>1.03</x:v>
      </x:c>
      <x:c r="AQ6" s="21" t="n">
        <x:v>1.03</x:v>
      </x:c>
      <x:c r="AR6" s="21" t="n">
        <x:v>1</x:v>
      </x:c>
      <x:c r="AS6" s="21" t="n">
        <x:v>1</x:v>
      </x:c>
      <x:c r="AT6" s="21" t="n">
        <x:v>1</x:v>
      </x:c>
      <x:c r="AU6" s="21" t="n">
        <x:v>0</x:v>
      </x:c>
      <x:c r="AV6" s="22" t="n">
        <x:f>IF(C6="QB",N6*0.04+O6*4-P6*2+R6*0.1+S6*6,IF(OR(C6="RB",C6="WR",C6="TE"),U6*0.1+V6*6+R6*0.1+S6*6+X6*0.5+Y6*0.1+Z6*6,IF(C6="K",AC6*3+AD6*4+AE6*5+AF6,IF(C6="DST",AG6+AH6*2+AI6*6+AL6,0))))</x:f>
        <x:v>18.009706871508378</x:v>
      </x:c>
      <x:c r="AW6" s="22" t="n">
        <x:f>(AV6+AU6)*G6</x:f>
        <x:v>18.009706871508378</x:v>
      </x:c>
      <x:c r="AX6" s="22" t="n">
        <x:f>MAX(0,AW6*IF(C6="QB",0.68,IF(C6="RB",0.58,IF(C6="WR",0.52,IF(C6="TE",0.50,IF(C6="K",0.55,0.40))))))</x:f>
        <x:v>12.246600672625698</x:v>
      </x:c>
      <x:c r="AY6" s="22" t="n">
        <x:f>AW6*IF(C6="QB",1.32,IF(C6="RB",1.45,IF(C6="WR",1.55,IF(C6="TE",1.60,IF(C6="K",1.45,1.65)))))</x:f>
        <x:v>23.77281307039106</x:v>
      </x:c>
      <x:c r="AZ6" s="12" t="str">
        <x:v>High</x:v>
      </x:c>
      <x:c r="BA6" s="12" t="n">
        <x:v>1</x:v>
      </x:c>
      <x:c r="BB6" s="12" t="n">
        <x:f>COUNTIFS($C$2:$C$344,C6,$AW$2:$AW$344,"&gt;"&amp;AW6,$G$2:$G$344,"&gt;0")+COUNTIFS($C$2:C6,C6,$AW$2:AW6,AW6,$G$2:G6,"&gt;0")</x:f>
        <x:v>5</x:v>
      </x:c>
      <x:c r="BC6" s="12" t="n">
        <x:v>5</x:v>
      </x:c>
      <x:c r="BD6" s="12" t="str">
        <x:f>IF(BB6&lt;BC6,"↑",IF(BB6&gt;BC6,"↓","→"))</x:f>
        <x:v>→</x:v>
      </x:c>
      <x:c r="BE6" s="23" t="str">
        <x:v>Fantasy Football Brief ROS baseline; official NFL schedule</x:v>
      </x:c>
      <x:c r="BF6" s="23" t="str">
        <x:v>Current role and availability baseline; all adjustment factors shown numerically</x:v>
      </x:c>
      <x:c r="BG6" s="23" t="str">
        <x:v>Material injury, depth-chart, or role change</x:v>
      </x:c>
      <x:c r="BH6" s="24" t="str">
        <x:v>2026-09-23 10:35 CT</x:v>
      </x:c>
    </x:row>
    <x:row r="7">
      <x:c r="A7" s="12" t="str">
        <x:v>Drake Maye</x:v>
      </x:c>
      <x:c r="B7" s="12" t="str">
        <x:v>NE</x:v>
      </x:c>
      <x:c r="C7" s="12" t="str">
        <x:v>QB</x:v>
      </x:c>
      <x:c r="D7" s="12" t="str">
        <x:v>JAX</x:v>
      </x:c>
      <x:c r="E7" s="12" t="str">
        <x:v>Away</x:v>
      </x:c>
      <x:c r="F7" s="12" t="str">
        <x:v>2026-09-27</x:v>
      </x:c>
      <x:c r="G7" s="19" t="n">
        <x:v>1</x:v>
      </x:c>
      <x:c r="H7" s="20" t="str">
        <x:v>ACTIVE</x:v>
      </x:c>
      <x:c r="I7" s="20" t="n">
        <x:v>62</x:v>
      </x:c>
      <x:c r="J7" s="20" t="str">
        <x:v>Dropbacks</x:v>
      </x:c>
      <x:c r="K7" s="20" t="n">
        <x:v>36.2</x:v>
      </x:c>
      <x:c r="L7" s="21" t="n">
        <x:v>32</x:v>
      </x:c>
      <x:c r="M7" s="21" t="n">
        <x:v>21</x:v>
      </x:c>
      <x:c r="N7" s="21" t="n">
        <x:v>239.904</x:v>
      </x:c>
      <x:c r="O7" s="21" t="n">
        <x:v>1.4994</x:v>
      </x:c>
      <x:c r="P7" s="21" t="n">
        <x:v>0.7</x:v>
      </x:c>
      <x:c r="Q7" s="21" t="n">
        <x:v>4.2</x:v>
      </x:c>
      <x:c r="R7" s="21" t="n">
        <x:v>24.990000000000002</x:v>
      </x:c>
      <x:c r="S7" s="21" t="n">
        <x:v>0.19992000000000001</x:v>
      </x:c>
      <x:c r="T7" s="21" t="n">
        <x:v>0</x:v>
      </x:c>
      <x:c r="U7" s="21" t="n">
        <x:v>0</x:v>
      </x:c>
      <x:c r="V7" s="21" t="n">
        <x:v>0</x:v>
      </x:c>
      <x:c r="W7" s="21" t="n">
        <x:v>0</x:v>
      </x:c>
      <x:c r="X7" s="21" t="n">
        <x:v>0</x:v>
      </x:c>
      <x:c r="Y7" s="21" t="n">
        <x:v>0</x:v>
      </x:c>
      <x:c r="Z7" s="21" t="n">
        <x:v>0</x:v>
      </x:c>
      <x:c r="AA7" s="21" t="n">
        <x:v>0</x:v>
      </x:c>
      <x:c r="AB7" s="21" t="n">
        <x:v>0</x:v>
      </x:c>
      <x:c r="AC7" s="21" t="n">
        <x:v>0</x:v>
      </x:c>
      <x:c r="AD7" s="21" t="n">
        <x:v>0</x:v>
      </x:c>
      <x:c r="AE7" s="21" t="n">
        <x:v>0</x:v>
      </x:c>
      <x:c r="AF7" s="21" t="n">
        <x:v>0</x:v>
      </x:c>
      <x:c r="AG7" s="21" t="n">
        <x:v>0</x:v>
      </x:c>
      <x:c r="AH7" s="21" t="n">
        <x:v>0</x:v>
      </x:c>
      <x:c r="AI7" s="21" t="n">
        <x:v>0</x:v>
      </x:c>
      <x:c r="AJ7" s="21" t="n">
        <x:v>0</x:v>
      </x:c>
      <x:c r="AK7" s="21" t="n">
        <x:v>0</x:v>
      </x:c>
      <x:c r="AL7" s="21" t="n">
        <x:v>0</x:v>
      </x:c>
      <x:c r="AM7" s="21" t="n">
        <x:v>1</x:v>
      </x:c>
      <x:c r="AN7" s="21" t="n">
        <x:v>1</x:v>
      </x:c>
      <x:c r="AO7" s="21" t="n">
        <x:v>1</x:v>
      </x:c>
      <x:c r="AP7" s="21" t="n">
        <x:v>0.98</x:v>
      </x:c>
      <x:c r="AQ7" s="21" t="n">
        <x:v>1.02</x:v>
      </x:c>
      <x:c r="AR7" s="21" t="n">
        <x:v>1</x:v>
      </x:c>
      <x:c r="AS7" s="21" t="n">
        <x:v>1</x:v>
      </x:c>
      <x:c r="AT7" s="21" t="n">
        <x:v>1</x:v>
      </x:c>
      <x:c r="AU7" s="21" t="n">
        <x:v>0</x:v>
      </x:c>
      <x:c r="AV7" s="22" t="n">
        <x:f>IF(C7="QB",N7*0.04+O7*4-P7*2+R7*0.1+S7*6,IF(OR(C7="RB",C7="WR",C7="TE"),U7*0.1+V7*6+R7*0.1+S7*6+X7*0.5+Y7*0.1+Z7*6,IF(C7="K",AC7*3+AD7*4+AE7*5+AF7,IF(C7="DST",AG7+AH7*2+AI7*6+AL7,0))))</x:f>
        <x:v>17.89228</x:v>
      </x:c>
      <x:c r="AW7" s="22" t="n">
        <x:f>(AV7+AU7)*G7</x:f>
        <x:v>17.89228</x:v>
      </x:c>
      <x:c r="AX7" s="22" t="n">
        <x:f>MAX(0,AW7*IF(C7="QB",0.68,IF(C7="RB",0.58,IF(C7="WR",0.52,IF(C7="TE",0.50,IF(C7="K",0.55,0.40))))))</x:f>
        <x:v>12.1667504</x:v>
      </x:c>
      <x:c r="AY7" s="22" t="n">
        <x:f>AW7*IF(C7="QB",1.32,IF(C7="RB",1.45,IF(C7="WR",1.55,IF(C7="TE",1.60,IF(C7="K",1.45,1.65)))))</x:f>
        <x:v>23.6178096</x:v>
      </x:c>
      <x:c r="AZ7" s="12" t="str">
        <x:v>High</x:v>
      </x:c>
      <x:c r="BA7" s="12" t="n">
        <x:v>1</x:v>
      </x:c>
      <x:c r="BB7" s="12" t="n">
        <x:f>COUNTIFS($C$2:$C$344,C7,$AW$2:$AW$344,"&gt;"&amp;AW7,$G$2:$G$344,"&gt;0")+COUNTIFS($C$2:C7,C7,$AW$2:AW7,AW7,$G$2:G7,"&gt;0")</x:f>
        <x:v>6</x:v>
      </x:c>
      <x:c r="BC7" s="12" t="n">
        <x:v>6</x:v>
      </x:c>
      <x:c r="BD7" s="12" t="str">
        <x:f>IF(BB7&lt;BC7,"↑",IF(BB7&gt;BC7,"↓","→"))</x:f>
        <x:v>→</x:v>
      </x:c>
      <x:c r="BE7" s="23" t="str">
        <x:v>Fantasy Football Brief ROS baseline; official NFL schedule</x:v>
      </x:c>
      <x:c r="BF7" s="23" t="str">
        <x:v>Current role and availability baseline; all adjustment factors shown numerically</x:v>
      </x:c>
      <x:c r="BG7" s="23" t="str">
        <x:v>Material injury, depth-chart, or role change</x:v>
      </x:c>
      <x:c r="BH7" s="24" t="str">
        <x:v>2026-09-23 10:35 CT</x:v>
      </x:c>
    </x:row>
    <x:row r="8">
      <x:c r="A8" s="12" t="str">
        <x:v>Trevor Lawrence</x:v>
      </x:c>
      <x:c r="B8" s="12" t="str">
        <x:v>JAC</x:v>
      </x:c>
      <x:c r="C8" s="12" t="str">
        <x:v>QB</x:v>
      </x:c>
      <x:c r="D8" s="12" t="str">
        <x:v>NE</x:v>
      </x:c>
      <x:c r="E8" s="12" t="str">
        <x:v>Home</x:v>
      </x:c>
      <x:c r="F8" s="12" t="str">
        <x:v>2026-09-27</x:v>
      </x:c>
      <x:c r="G8" s="19" t="n">
        <x:v>1</x:v>
      </x:c>
      <x:c r="H8" s="20" t="str">
        <x:v>ACTIVE</x:v>
      </x:c>
      <x:c r="I8" s="20" t="n">
        <x:v>62</x:v>
      </x:c>
      <x:c r="J8" s="20" t="str">
        <x:v>Dropbacks</x:v>
      </x:c>
      <x:c r="K8" s="20" t="n">
        <x:v>36.40223463687151</x:v>
      </x:c>
      <x:c r="L8" s="21" t="n">
        <x:v>32.17877094972067</x:v>
      </x:c>
      <x:c r="M8" s="21" t="n">
        <x:v>21.117318435754193</x:v>
      </x:c>
      <x:c r="N8" s="21" t="n">
        <x:v>238.927374301676</x:v>
      </x:c>
      <x:c r="O8" s="21" t="n">
        <x:v>1.493296089385475</x:v>
      </x:c>
      <x:c r="P8" s="21" t="n">
        <x:v>0.7039106145251397</x:v>
      </x:c>
      <x:c r="Q8" s="21" t="n">
        <x:v>4.223463687150838</x:v>
      </x:c>
      <x:c r="R8" s="21" t="n">
        <x:v>24.888268156424584</x:v>
      </x:c>
      <x:c r="S8" s="21" t="n">
        <x:v>0.19910614525139667</x:v>
      </x:c>
      <x:c r="T8" s="21" t="n">
        <x:v>0</x:v>
      </x:c>
      <x:c r="U8" s="21" t="n">
        <x:v>0</x:v>
      </x:c>
      <x:c r="V8" s="21" t="n">
        <x:v>0</x:v>
      </x:c>
      <x:c r="W8" s="21" t="n">
        <x:v>0</x:v>
      </x:c>
      <x:c r="X8" s="21" t="n">
        <x:v>0</x:v>
      </x:c>
      <x:c r="Y8" s="21" t="n">
        <x:v>0</x:v>
      </x:c>
      <x:c r="Z8" s="21" t="n">
        <x:v>0</x:v>
      </x:c>
      <x:c r="AA8" s="21" t="n">
        <x:v>0</x:v>
      </x:c>
      <x:c r="AB8" s="21" t="n">
        <x:v>0</x:v>
      </x:c>
      <x:c r="AC8" s="21" t="n">
        <x:v>0</x:v>
      </x:c>
      <x:c r="AD8" s="21" t="n">
        <x:v>0</x:v>
      </x:c>
      <x:c r="AE8" s="21" t="n">
        <x:v>0</x:v>
      </x:c>
      <x:c r="AF8" s="21" t="n">
        <x:v>0</x:v>
      </x:c>
      <x:c r="AG8" s="21" t="n">
        <x:v>0</x:v>
      </x:c>
      <x:c r="AH8" s="21" t="n">
        <x:v>0</x:v>
      </x:c>
      <x:c r="AI8" s="21" t="n">
        <x:v>0</x:v>
      </x:c>
      <x:c r="AJ8" s="21" t="n">
        <x:v>0</x:v>
      </x:c>
      <x:c r="AK8" s="21" t="n">
        <x:v>0</x:v>
      </x:c>
      <x:c r="AL8" s="21" t="n">
        <x:v>0</x:v>
      </x:c>
      <x:c r="AM8" s="21" t="n">
        <x:v>1</x:v>
      </x:c>
      <x:c r="AN8" s="21" t="n">
        <x:v>1</x:v>
      </x:c>
      <x:c r="AO8" s="21" t="n">
        <x:v>1</x:v>
      </x:c>
      <x:c r="AP8" s="21" t="n">
        <x:v>1</x:v>
      </x:c>
      <x:c r="AQ8" s="21" t="n">
        <x:v>0.99</x:v>
      </x:c>
      <x:c r="AR8" s="21" t="n">
        <x:v>1</x:v>
      </x:c>
      <x:c r="AS8" s="21" t="n">
        <x:v>1</x:v>
      </x:c>
      <x:c r="AT8" s="21" t="n">
        <x:v>1</x:v>
      </x:c>
      <x:c r="AU8" s="21" t="n">
        <x:v>0</x:v>
      </x:c>
      <x:c r="AV8" s="22" t="n">
        <x:f>IF(C8="QB",N8*0.04+O8*4-P8*2+R8*0.1+S8*6,IF(OR(C8="RB",C8="WR",C8="TE"),U8*0.1+V8*6+R8*0.1+S8*6+X8*0.5+Y8*0.1+Z8*6,IF(C8="K",AC8*3+AD8*4+AE8*5+AF8,IF(C8="DST",AG8+AH8*2+AI8*6+AL8,0))))</x:f>
        <x:v>17.805921787709497</x:v>
      </x:c>
      <x:c r="AW8" s="22" t="n">
        <x:f>(AV8+AU8)*G8</x:f>
        <x:v>17.805921787709497</x:v>
      </x:c>
      <x:c r="AX8" s="22" t="n">
        <x:f>MAX(0,AW8*IF(C8="QB",0.68,IF(C8="RB",0.58,IF(C8="WR",0.52,IF(C8="TE",0.50,IF(C8="K",0.55,0.40))))))</x:f>
        <x:v>12.108026815642459</x:v>
      </x:c>
      <x:c r="AY8" s="22" t="n">
        <x:f>AW8*IF(C8="QB",1.32,IF(C8="RB",1.45,IF(C8="WR",1.55,IF(C8="TE",1.60,IF(C8="K",1.45,1.65)))))</x:f>
        <x:v>23.503816759776537</x:v>
      </x:c>
      <x:c r="AZ8" s="12" t="str">
        <x:v>High</x:v>
      </x:c>
      <x:c r="BA8" s="12" t="n">
        <x:v>2</x:v>
      </x:c>
      <x:c r="BB8" s="12" t="n">
        <x:f>COUNTIFS($C$2:$C$344,C8,$AW$2:$AW$344,"&gt;"&amp;AW8,$G$2:$G$344,"&gt;0")+COUNTIFS($C$2:C8,C8,$AW$2:AW8,AW8,$G$2:G8,"&gt;0")</x:f>
        <x:v>7</x:v>
      </x:c>
      <x:c r="BC8" s="12" t="n">
        <x:v>7</x:v>
      </x:c>
      <x:c r="BD8" s="12" t="str">
        <x:f>IF(BB8&lt;BC8,"↑",IF(BB8&gt;BC8,"↓","→"))</x:f>
        <x:v>→</x:v>
      </x:c>
      <x:c r="BE8" s="23" t="str">
        <x:v>Fantasy Football Brief ROS baseline; official NFL schedule</x:v>
      </x:c>
      <x:c r="BF8" s="23" t="str">
        <x:v>Current role and availability baseline; all adjustment factors shown numerically</x:v>
      </x:c>
      <x:c r="BG8" s="23" t="str">
        <x:v>Material injury, depth-chart, or role change</x:v>
      </x:c>
      <x:c r="BH8" s="24" t="str">
        <x:v>2026-09-23 10:35 CT</x:v>
      </x:c>
    </x:row>
    <x:row r="9">
      <x:c r="A9" s="12" t="str">
        <x:v>Joe Burrow</x:v>
      </x:c>
      <x:c r="B9" s="12" t="str">
        <x:v>CIN</x:v>
      </x:c>
      <x:c r="C9" s="12" t="str">
        <x:v>QB</x:v>
      </x:c>
      <x:c r="D9" s="12" t="str">
        <x:v>PIT</x:v>
      </x:c>
      <x:c r="E9" s="12" t="str">
        <x:v>Away</x:v>
      </x:c>
      <x:c r="F9" s="12" t="str">
        <x:v>2026-09-27</x:v>
      </x:c>
      <x:c r="G9" s="19" t="n">
        <x:v>1</x:v>
      </x:c>
      <x:c r="H9" s="20" t="str">
        <x:v>ACTIVE</x:v>
      </x:c>
      <x:c r="I9" s="20" t="n">
        <x:v>62</x:v>
      </x:c>
      <x:c r="J9" s="20" t="str">
        <x:v>Dropbacks</x:v>
      </x:c>
      <x:c r="K9" s="20" t="n">
        <x:v>36.40223463687151</x:v>
      </x:c>
      <x:c r="L9" s="21" t="n">
        <x:v>32.17877094972067</x:v>
      </x:c>
      <x:c r="M9" s="21" t="n">
        <x:v>21.117318435754193</x:v>
      </x:c>
      <x:c r="N9" s="21" t="n">
        <x:v>236.44156424581007</x:v>
      </x:c>
      <x:c r="O9" s="21" t="n">
        <x:v>1.4777597765363129</x:v>
      </x:c>
      <x:c r="P9" s="21" t="n">
        <x:v>0.7039106145251397</x:v>
      </x:c>
      <x:c r="Q9" s="21" t="n">
        <x:v>4.223463687150838</x:v>
      </x:c>
      <x:c r="R9" s="21" t="n">
        <x:v>24.62932960893855</x:v>
      </x:c>
      <x:c r="S9" s="21" t="n">
        <x:v>0.1970346368715084</x:v>
      </x:c>
      <x:c r="T9" s="21" t="n">
        <x:v>0</x:v>
      </x:c>
      <x:c r="U9" s="21" t="n">
        <x:v>0</x:v>
      </x:c>
      <x:c r="V9" s="21" t="n">
        <x:v>0</x:v>
      </x:c>
      <x:c r="W9" s="21" t="n">
        <x:v>0</x:v>
      </x:c>
      <x:c r="X9" s="21" t="n">
        <x:v>0</x:v>
      </x:c>
      <x:c r="Y9" s="21" t="n">
        <x:v>0</x:v>
      </x:c>
      <x:c r="Z9" s="21" t="n">
        <x:v>0</x:v>
      </x:c>
      <x:c r="AA9" s="21" t="n">
        <x:v>0</x:v>
      </x:c>
      <x:c r="AB9" s="21" t="n">
        <x:v>0</x:v>
      </x:c>
      <x:c r="AC9" s="21" t="n">
        <x:v>0</x:v>
      </x:c>
      <x:c r="AD9" s="21" t="n">
        <x:v>0</x:v>
      </x:c>
      <x:c r="AE9" s="21" t="n">
        <x:v>0</x:v>
      </x:c>
      <x:c r="AF9" s="21" t="n">
        <x:v>0</x:v>
      </x:c>
      <x:c r="AG9" s="21" t="n">
        <x:v>0</x:v>
      </x:c>
      <x:c r="AH9" s="21" t="n">
        <x:v>0</x:v>
      </x:c>
      <x:c r="AI9" s="21" t="n">
        <x:v>0</x:v>
      </x:c>
      <x:c r="AJ9" s="21" t="n">
        <x:v>0</x:v>
      </x:c>
      <x:c r="AK9" s="21" t="n">
        <x:v>0</x:v>
      </x:c>
      <x:c r="AL9" s="21" t="n">
        <x:v>0</x:v>
      </x:c>
      <x:c r="AM9" s="21" t="n">
        <x:v>1</x:v>
      </x:c>
      <x:c r="AN9" s="21" t="n">
        <x:v>1</x:v>
      </x:c>
      <x:c r="AO9" s="21" t="n">
        <x:v>1</x:v>
      </x:c>
      <x:c r="AP9" s="21" t="n">
        <x:v>1.01</x:v>
      </x:c>
      <x:c r="AQ9" s="21" t="n">
        <x:v>0.97</x:v>
      </x:c>
      <x:c r="AR9" s="21" t="n">
        <x:v>1</x:v>
      </x:c>
      <x:c r="AS9" s="21" t="n">
        <x:v>1</x:v>
      </x:c>
      <x:c r="AT9" s="21" t="n">
        <x:v>1</x:v>
      </x:c>
      <x:c r="AU9" s="21" t="n">
        <x:v>0</x:v>
      </x:c>
      <x:c r="AV9" s="22" t="n">
        <x:f>IF(C9="QB",N9*0.04+O9*4-P9*2+R9*0.1+S9*6,IF(OR(C9="RB",C9="WR",C9="TE"),U9*0.1+V9*6+R9*0.1+S9*6+X9*0.5+Y9*0.1+Z9*6,IF(C9="K",AC9*3+AD9*4+AE9*5+AF9,IF(C9="DST",AG9+AH9*2+AI9*6+AL9,0))))</x:f>
        <x:v>17.606021229050278</x:v>
      </x:c>
      <x:c r="AW9" s="22" t="n">
        <x:f>(AV9+AU9)*G9</x:f>
        <x:v>17.606021229050278</x:v>
      </x:c>
      <x:c r="AX9" s="22" t="n">
        <x:f>MAX(0,AW9*IF(C9="QB",0.68,IF(C9="RB",0.58,IF(C9="WR",0.52,IF(C9="TE",0.50,IF(C9="K",0.55,0.40))))))</x:f>
        <x:v>11.97209443575419</x:v>
      </x:c>
      <x:c r="AY9" s="22" t="n">
        <x:f>AW9*IF(C9="QB",1.32,IF(C9="RB",1.45,IF(C9="WR",1.55,IF(C9="TE",1.60,IF(C9="K",1.45,1.65)))))</x:f>
        <x:v>23.23994802234637</x:v>
      </x:c>
      <x:c r="AZ9" s="12" t="str">
        <x:v>High</x:v>
      </x:c>
      <x:c r="BA9" s="12" t="n">
        <x:v>2</x:v>
      </x:c>
      <x:c r="BB9" s="12" t="n">
        <x:f>COUNTIFS($C$2:$C$344,C9,$AW$2:$AW$344,"&gt;"&amp;AW9,$G$2:$G$344,"&gt;0")+COUNTIFS($C$2:C9,C9,$AW$2:AW9,AW9,$G$2:G9,"&gt;0")</x:f>
        <x:v>8</x:v>
      </x:c>
      <x:c r="BC9" s="12" t="n">
        <x:v>8</x:v>
      </x:c>
      <x:c r="BD9" s="12" t="str">
        <x:f>IF(BB9&lt;BC9,"↑",IF(BB9&gt;BC9,"↓","→"))</x:f>
        <x:v>→</x:v>
      </x:c>
      <x:c r="BE9" s="23" t="str">
        <x:v>Fantasy Football Brief ROS baseline; official NFL schedule</x:v>
      </x:c>
      <x:c r="BF9" s="23" t="str">
        <x:v>Current role and availability baseline; all adjustment factors shown numerically</x:v>
      </x:c>
      <x:c r="BG9" s="23" t="str">
        <x:v>Material injury, depth-chart, or role change</x:v>
      </x:c>
      <x:c r="BH9" s="24" t="str">
        <x:v>2026-09-23 10:35 CT</x:v>
      </x:c>
    </x:row>
    <x:row r="10">
      <x:c r="A10" s="12" t="str">
        <x:v>Brock Purdy</x:v>
      </x:c>
      <x:c r="B10" s="12" t="str">
        <x:v>SF</x:v>
      </x:c>
      <x:c r="C10" s="12" t="str">
        <x:v>QB</x:v>
      </x:c>
      <x:c r="D10" s="12" t="str">
        <x:v>ARI</x:v>
      </x:c>
      <x:c r="E10" s="12" t="str">
        <x:v>Home</x:v>
      </x:c>
      <x:c r="F10" s="12" t="str">
        <x:v>2026-09-27</x:v>
      </x:c>
      <x:c r="G10" s="19" t="n">
        <x:v>1</x:v>
      </x:c>
      <x:c r="H10" s="20" t="str">
        <x:v>ACTIVE</x:v>
      </x:c>
      <x:c r="I10" s="20" t="n">
        <x:v>62</x:v>
      </x:c>
      <x:c r="J10" s="20" t="str">
        <x:v>Dropbacks</x:v>
      </x:c>
      <x:c r="K10" s="20" t="n">
        <x:v>34.58212290502794</x:v>
      </x:c>
      <x:c r="L10" s="21" t="n">
        <x:v>30.569832402234642</x:v>
      </x:c>
      <x:c r="M10" s="21" t="n">
        <x:v>20.061452513966483</x:v>
      </x:c>
      <x:c r="N10" s="21" t="n">
        <x:v>233.85921787709503</x:v>
      </x:c>
      <x:c r="O10" s="21" t="n">
        <x:v>1.461620111731844</x:v>
      </x:c>
      <x:c r="P10" s="21" t="n">
        <x:v>0.6687150837988828</x:v>
      </x:c>
      <x:c r="Q10" s="21" t="n">
        <x:v>4.012290502793297</x:v>
      </x:c>
      <x:c r="R10" s="21" t="n">
        <x:v>24.36033519553073</x:v>
      </x:c>
      <x:c r="S10" s="21" t="n">
        <x:v>0.19488268156424587</x:v>
      </x:c>
      <x:c r="T10" s="21" t="n">
        <x:v>0</x:v>
      </x:c>
      <x:c r="U10" s="21" t="n">
        <x:v>0</x:v>
      </x:c>
      <x:c r="V10" s="21" t="n">
        <x:v>0</x:v>
      </x:c>
      <x:c r="W10" s="21" t="n">
        <x:v>0</x:v>
      </x:c>
      <x:c r="X10" s="21" t="n">
        <x:v>0</x:v>
      </x:c>
      <x:c r="Y10" s="21" t="n">
        <x:v>0</x:v>
      </x:c>
      <x:c r="Z10" s="21" t="n">
        <x:v>0</x:v>
      </x:c>
      <x:c r="AA10" s="21" t="n">
        <x:v>0</x:v>
      </x:c>
      <x:c r="AB10" s="21" t="n">
        <x:v>0</x:v>
      </x:c>
      <x:c r="AC10" s="21" t="n">
        <x:v>0</x:v>
      </x:c>
      <x:c r="AD10" s="21" t="n">
        <x:v>0</x:v>
      </x:c>
      <x:c r="AE10" s="21" t="n">
        <x:v>0</x:v>
      </x:c>
      <x:c r="AF10" s="21" t="n">
        <x:v>0</x:v>
      </x:c>
      <x:c r="AG10" s="21" t="n">
        <x:v>0</x:v>
      </x:c>
      <x:c r="AH10" s="21" t="n">
        <x:v>0</x:v>
      </x:c>
      <x:c r="AI10" s="21" t="n">
        <x:v>0</x:v>
      </x:c>
      <x:c r="AJ10" s="21" t="n">
        <x:v>0</x:v>
      </x:c>
      <x:c r="AK10" s="21" t="n">
        <x:v>0</x:v>
      </x:c>
      <x:c r="AL10" s="21" t="n">
        <x:v>0</x:v>
      </x:c>
      <x:c r="AM10" s="21" t="n">
        <x:v>1</x:v>
      </x:c>
      <x:c r="AN10" s="21" t="n">
        <x:v>1</x:v>
      </x:c>
      <x:c r="AO10" s="21" t="n">
        <x:v>1</x:v>
      </x:c>
      <x:c r="AP10" s="21" t="n">
        <x:v>1.02</x:v>
      </x:c>
      <x:c r="AQ10" s="21" t="n">
        <x:v>1</x:v>
      </x:c>
      <x:c r="AR10" s="21" t="n">
        <x:v>1</x:v>
      </x:c>
      <x:c r="AS10" s="21" t="n">
        <x:v>1</x:v>
      </x:c>
      <x:c r="AT10" s="21" t="n">
        <x:v>1</x:v>
      </x:c>
      <x:c r="AU10" s="21" t="n">
        <x:v>0</x:v>
      </x:c>
      <x:c r="AV10" s="22" t="n">
        <x:f>IF(C10="QB",N10*0.04+O10*4-P10*2+R10*0.1+S10*6,IF(OR(C10="RB",C10="WR",C10="TE"),U10*0.1+V10*6+R10*0.1+S10*6+X10*0.5+Y10*0.1+Z10*6,IF(C10="K",AC10*3+AD10*4+AE10*5+AF10,IF(C10="DST",AG10+AH10*2+AI10*6+AL10,0))))</x:f>
        <x:v>17.468748603351962</x:v>
      </x:c>
      <x:c r="AW10" s="22" t="n">
        <x:f>(AV10+AU10)*G10</x:f>
        <x:v>17.468748603351962</x:v>
      </x:c>
      <x:c r="AX10" s="22" t="n">
        <x:f>MAX(0,AW10*IF(C10="QB",0.68,IF(C10="RB",0.58,IF(C10="WR",0.52,IF(C10="TE",0.50,IF(C10="K",0.55,0.40))))))</x:f>
        <x:v>11.878749050279335</x:v>
      </x:c>
      <x:c r="AY10" s="22" t="n">
        <x:f>AW10*IF(C10="QB",1.32,IF(C10="RB",1.45,IF(C10="WR",1.55,IF(C10="TE",1.60,IF(C10="K",1.45,1.65)))))</x:f>
        <x:v>23.058748156424592</x:v>
      </x:c>
      <x:c r="AZ10" s="12" t="str">
        <x:v>High</x:v>
      </x:c>
      <x:c r="BA10" s="12" t="n">
        <x:v>2</x:v>
      </x:c>
      <x:c r="BB10" s="12" t="n">
        <x:f>COUNTIFS($C$2:$C$344,C10,$AW$2:$AW$344,"&gt;"&amp;AW10,$G$2:$G$344,"&gt;0")+COUNTIFS($C$2:C10,C10,$AW$2:AW10,AW10,$G$2:G10,"&gt;0")</x:f>
        <x:v>9</x:v>
      </x:c>
      <x:c r="BC10" s="12" t="n">
        <x:v>9</x:v>
      </x:c>
      <x:c r="BD10" s="12" t="str">
        <x:f>IF(BB10&lt;BC10,"↑",IF(BB10&gt;BC10,"↓","→"))</x:f>
        <x:v>→</x:v>
      </x:c>
      <x:c r="BE10" s="23" t="str">
        <x:v>Fantasy Football Brief ROS baseline; official NFL schedule</x:v>
      </x:c>
      <x:c r="BF10" s="23" t="str">
        <x:v>Current role and availability baseline; all adjustment factors shown numerically</x:v>
      </x:c>
      <x:c r="BG10" s="23" t="str">
        <x:v>Material injury, depth-chart, or role change</x:v>
      </x:c>
      <x:c r="BH10" s="24" t="str">
        <x:v>2026-09-23 10:35 CT</x:v>
      </x:c>
    </x:row>
    <x:row r="11">
      <x:c r="A11" s="12" t="str">
        <x:v>Jordan Love</x:v>
      </x:c>
      <x:c r="B11" s="12" t="str">
        <x:v>GB</x:v>
      </x:c>
      <x:c r="C11" s="12" t="str">
        <x:v>QB</x:v>
      </x:c>
      <x:c r="D11" s="12" t="str">
        <x:v>ATL</x:v>
      </x:c>
      <x:c r="E11" s="12" t="str">
        <x:v>Home</x:v>
      </x:c>
      <x:c r="F11" s="12" t="str">
        <x:v>2026-09-24</x:v>
      </x:c>
      <x:c r="G11" s="19" t="n">
        <x:v>1</x:v>
      </x:c>
      <x:c r="H11" s="20" t="str">
        <x:v>ACTIVE</x:v>
      </x:c>
      <x:c r="I11" s="20" t="n">
        <x:v>62</x:v>
      </x:c>
      <x:c r="J11" s="20" t="str">
        <x:v>Dropbacks</x:v>
      </x:c>
      <x:c r="K11" s="20" t="n">
        <x:v>32.96424581005587</x:v>
      </x:c>
      <x:c r="L11" s="21" t="n">
        <x:v>29.139664804469277</x:v>
      </x:c>
      <x:c r="M11" s="21" t="n">
        <x:v>19.122905027932962</x:v>
      </x:c>
      <x:c r="N11" s="21" t="n">
        <x:v>216.23088268156425</x:v>
      </x:c>
      <x:c r="O11" s="21" t="n">
        <x:v>1.3653754189944136</x:v>
      </x:c>
      <x:c r="P11" s="21" t="n">
        <x:v>0.6693016759776537</x:v>
      </x:c>
      <x:c r="Q11" s="21" t="n">
        <x:v>3.8245810055865928</x:v>
      </x:c>
      <x:c r="R11" s="21" t="n">
        <x:v>23.220670391061454</x:v>
      </x:c>
      <x:c r="S11" s="21" t="n">
        <x:v>0.18576536312849165</x:v>
      </x:c>
      <x:c r="T11" s="21" t="n">
        <x:v>0</x:v>
      </x:c>
      <x:c r="U11" s="21" t="n">
        <x:v>0</x:v>
      </x:c>
      <x:c r="V11" s="21" t="n">
        <x:v>0</x:v>
      </x:c>
      <x:c r="W11" s="21" t="n">
        <x:v>0</x:v>
      </x:c>
      <x:c r="X11" s="21" t="n">
        <x:v>0</x:v>
      </x:c>
      <x:c r="Y11" s="21" t="n">
        <x:v>0</x:v>
      </x:c>
      <x:c r="Z11" s="21" t="n">
        <x:v>0</x:v>
      </x:c>
      <x:c r="AA11" s="21" t="n">
        <x:v>0</x:v>
      </x:c>
      <x:c r="AB11" s="21" t="n">
        <x:v>0</x:v>
      </x:c>
      <x:c r="AC11" s="21" t="n">
        <x:v>0</x:v>
      </x:c>
      <x:c r="AD11" s="21" t="n">
        <x:v>0</x:v>
      </x:c>
      <x:c r="AE11" s="21" t="n">
        <x:v>0</x:v>
      </x:c>
      <x:c r="AF11" s="21" t="n">
        <x:v>0</x:v>
      </x:c>
      <x:c r="AG11" s="21" t="n">
        <x:v>0</x:v>
      </x:c>
      <x:c r="AH11" s="21" t="n">
        <x:v>0</x:v>
      </x:c>
      <x:c r="AI11" s="21" t="n">
        <x:v>0</x:v>
      </x:c>
      <x:c r="AJ11" s="21" t="n">
        <x:v>0</x:v>
      </x:c>
      <x:c r="AK11" s="21" t="n">
        <x:v>0</x:v>
      </x:c>
      <x:c r="AL11" s="21" t="n">
        <x:v>0</x:v>
      </x:c>
      <x:c r="AM11" s="21" t="n">
        <x:v>1</x:v>
      </x:c>
      <x:c r="AN11" s="21" t="n">
        <x:v>1</x:v>
      </x:c>
      <x:c r="AO11" s="21" t="n">
        <x:v>1</x:v>
      </x:c>
      <x:c r="AP11" s="21" t="n">
        <x:v>0.99</x:v>
      </x:c>
      <x:c r="AQ11" s="21" t="n">
        <x:v>1</x:v>
      </x:c>
      <x:c r="AR11" s="21" t="n">
        <x:v>1</x:v>
      </x:c>
      <x:c r="AS11" s="21" t="n">
        <x:v>1</x:v>
      </x:c>
      <x:c r="AT11" s="21" t="n">
        <x:v>1</x:v>
      </x:c>
      <x:c r="AU11" s="21" t="n">
        <x:v>0</x:v>
      </x:c>
      <x:c r="AV11" s="22" t="n">
        <x:f>IF(C11="QB",N11*0.04+O11*4-P11*2+R11*0.1+S11*6,IF(OR(C11="RB",C11="WR",C11="TE"),U11*0.1+V11*6+R11*0.1+S11*6+X11*0.5+Y11*0.1+Z11*6,IF(C11="K",AC11*3+AD11*4+AE11*5+AF11,IF(C11="DST",AG11+AH11*2+AI11*6+AL11,0))))</x:f>
        <x:v>16.208792849162013</x:v>
      </x:c>
      <x:c r="AW11" s="22" t="n">
        <x:f>(AV11+AU11)*G11</x:f>
        <x:v>16.208792849162013</x:v>
      </x:c>
      <x:c r="AX11" s="22" t="n">
        <x:f>MAX(0,AW11*IF(C11="QB",0.68,IF(C11="RB",0.58,IF(C11="WR",0.52,IF(C11="TE",0.50,IF(C11="K",0.55,0.40))))))</x:f>
        <x:v>11.021979137430169</x:v>
      </x:c>
      <x:c r="AY11" s="22" t="n">
        <x:f>AW11*IF(C11="QB",1.32,IF(C11="RB",1.45,IF(C11="WR",1.55,IF(C11="TE",1.60,IF(C11="K",1.45,1.65)))))</x:f>
        <x:v>21.395606560893857</x:v>
      </x:c>
      <x:c r="AZ11" s="12" t="str">
        <x:v>Moderate</x:v>
      </x:c>
      <x:c r="BA11" s="12" t="n">
        <x:v>2</x:v>
      </x:c>
      <x:c r="BB11" s="12" t="n">
        <x:f>COUNTIFS($C$2:$C$344,C11,$AW$2:$AW$344,"&gt;"&amp;AW11,$G$2:$G$344,"&gt;0")+COUNTIFS($C$2:C11,C11,$AW$2:AW11,AW11,$G$2:G11,"&gt;0")</x:f>
        <x:v>10</x:v>
      </x:c>
      <x:c r="BC11" s="12" t="n">
        <x:v>10</x:v>
      </x:c>
      <x:c r="BD11" s="12" t="str">
        <x:f>IF(BB11&lt;BC11,"↑",IF(BB11&gt;BC11,"↓","→"))</x:f>
        <x:v>→</x:v>
      </x:c>
      <x:c r="BE11" s="23" t="str">
        <x:v>Packers final report: starting G Aaron Banks (knee/toe) out; https://www.packers.com/team/injury-report/</x:v>
      </x:c>
      <x:c r="BF11" s="23" t="str">
        <x:v>Modest protection/efficiency discount applied to passing yards, touchdowns and interception risk; Reed redistribution changes target destinations, not team pass volume.</x:v>
      </x:c>
      <x:c r="BG11" s="23" t="str">
        <x:v>Thursday inactives and protection plan</x:v>
      </x:c>
      <x:c r="BH11" s="24" t="str">
        <x:v>2026-09-24 1:18 PM CT</x:v>
      </x:c>
    </x:row>
    <x:row r="12">
      <x:c r="A12" s="12" t="str">
        <x:v>Dak Prescott</x:v>
      </x:c>
      <x:c r="B12" s="12" t="str">
        <x:v>DAL</x:v>
      </x:c>
      <x:c r="C12" s="12" t="str">
        <x:v>QB</x:v>
      </x:c>
      <x:c r="D12" s="12" t="str">
        <x:v>BAL</x:v>
      </x:c>
      <x:c r="E12" s="12" t="str">
        <x:v>Home</x:v>
      </x:c>
      <x:c r="F12" s="12" t="str">
        <x:v>2026-09-27</x:v>
      </x:c>
      <x:c r="G12" s="19" t="n">
        <x:v>1</x:v>
      </x:c>
      <x:c r="H12" s="20" t="str">
        <x:v>ACTIVE</x:v>
      </x:c>
      <x:c r="I12" s="20" t="n">
        <x:v>62</x:v>
      </x:c>
      <x:c r="J12" s="20" t="str">
        <x:v>Dropbacks</x:v>
      </x:c>
      <x:c r="K12" s="20" t="n">
        <x:v>34.78435754189944</x:v>
      </x:c>
      <x:c r="L12" s="21" t="n">
        <x:v>30.748603351955307</x:v>
      </x:c>
      <x:c r="M12" s="21" t="n">
        <x:v>20.17877094972067</x:v>
      </x:c>
      <x:c r="N12" s="21" t="n">
        <x:v>216.7776536312849</x:v>
      </x:c>
      <x:c r="O12" s="21" t="n">
        <x:v>1.3548603351955306</x:v>
      </x:c>
      <x:c r="P12" s="21" t="n">
        <x:v>0.6726256983240223</x:v>
      </x:c>
      <x:c r="Q12" s="21" t="n">
        <x:v>4.035754189944134</x:v>
      </x:c>
      <x:c r="R12" s="21" t="n">
        <x:v>22.581005586592177</x:v>
      </x:c>
      <x:c r="S12" s="21" t="n">
        <x:v>0.18064804469273743</x:v>
      </x:c>
      <x:c r="T12" s="21" t="n">
        <x:v>0</x:v>
      </x:c>
      <x:c r="U12" s="21" t="n">
        <x:v>0</x:v>
      </x:c>
      <x:c r="V12" s="21" t="n">
        <x:v>0</x:v>
      </x:c>
      <x:c r="W12" s="21" t="n">
        <x:v>0</x:v>
      </x:c>
      <x:c r="X12" s="21" t="n">
        <x:v>0</x:v>
      </x:c>
      <x:c r="Y12" s="21" t="n">
        <x:v>0</x:v>
      </x:c>
      <x:c r="Z12" s="21" t="n">
        <x:v>0</x:v>
      </x:c>
      <x:c r="AA12" s="21" t="n">
        <x:v>0</x:v>
      </x:c>
      <x:c r="AB12" s="21" t="n">
        <x:v>0</x:v>
      </x:c>
      <x:c r="AC12" s="21" t="n">
        <x:v>0</x:v>
      </x:c>
      <x:c r="AD12" s="21" t="n">
        <x:v>0</x:v>
      </x:c>
      <x:c r="AE12" s="21" t="n">
        <x:v>0</x:v>
      </x:c>
      <x:c r="AF12" s="21" t="n">
        <x:v>0</x:v>
      </x:c>
      <x:c r="AG12" s="21" t="n">
        <x:v>0</x:v>
      </x:c>
      <x:c r="AH12" s="21" t="n">
        <x:v>0</x:v>
      </x:c>
      <x:c r="AI12" s="21" t="n">
        <x:v>0</x:v>
      </x:c>
      <x:c r="AJ12" s="21" t="n">
        <x:v>0</x:v>
      </x:c>
      <x:c r="AK12" s="21" t="n">
        <x:v>0</x:v>
      </x:c>
      <x:c r="AL12" s="21" t="n">
        <x:v>0</x:v>
      </x:c>
      <x:c r="AM12" s="21" t="n">
        <x:v>1</x:v>
      </x:c>
      <x:c r="AN12" s="21" t="n">
        <x:v>1</x:v>
      </x:c>
      <x:c r="AO12" s="21" t="n">
        <x:v>1</x:v>
      </x:c>
      <x:c r="AP12" s="21" t="n">
        <x:v>1</x:v>
      </x:c>
      <x:c r="AQ12" s="21" t="n">
        <x:v>0.94</x:v>
      </x:c>
      <x:c r="AR12" s="21" t="n">
        <x:v>1</x:v>
      </x:c>
      <x:c r="AS12" s="21" t="n">
        <x:v>1</x:v>
      </x:c>
      <x:c r="AT12" s="21" t="n">
        <x:v>1</x:v>
      </x:c>
      <x:c r="AU12" s="21" t="n">
        <x:v>0</x:v>
      </x:c>
      <x:c r="AV12" s="22" t="n">
        <x:f>IF(C12="QB",N12*0.04+O12*4-P12*2+R12*0.1+S12*6,IF(OR(C12="RB",C12="WR",C12="TE"),U12*0.1+V12*6+R12*0.1+S12*6+X12*0.5+Y12*0.1+Z12*6,IF(C12="K",AC12*3+AD12*4+AE12*5+AF12,IF(C12="DST",AG12+AH12*2+AI12*6+AL12,0))))</x:f>
        <x:v>16.087284916201114</x:v>
      </x:c>
      <x:c r="AW12" s="22" t="n">
        <x:f>(AV12+AU12)*G12</x:f>
        <x:v>16.087284916201114</x:v>
      </x:c>
      <x:c r="AX12" s="22" t="n">
        <x:f>MAX(0,AW12*IF(C12="QB",0.68,IF(C12="RB",0.58,IF(C12="WR",0.52,IF(C12="TE",0.50,IF(C12="K",0.55,0.40))))))</x:f>
        <x:v>10.939353743016758</x:v>
      </x:c>
      <x:c r="AY12" s="22" t="n">
        <x:f>AW12*IF(C12="QB",1.32,IF(C12="RB",1.45,IF(C12="WR",1.55,IF(C12="TE",1.60,IF(C12="K",1.45,1.65)))))</x:f>
        <x:v>21.23521608938547</x:v>
      </x:c>
      <x:c r="AZ12" s="12" t="str">
        <x:v>High</x:v>
      </x:c>
      <x:c r="BA12" s="12" t="n">
        <x:v>2</x:v>
      </x:c>
      <x:c r="BB12" s="12" t="n">
        <x:f>COUNTIFS($C$2:$C$344,C12,$AW$2:$AW$344,"&gt;"&amp;AW12,$G$2:$G$344,"&gt;0")+COUNTIFS($C$2:C12,C12,$AW$2:AW12,AW12,$G$2:G12,"&gt;0")</x:f>
        <x:v>11</x:v>
      </x:c>
      <x:c r="BC12" s="12" t="n">
        <x:v>11</x:v>
      </x:c>
      <x:c r="BD12" s="12" t="str">
        <x:f>IF(BB12&lt;BC12,"↑",IF(BB12&gt;BC12,"↓","→"))</x:f>
        <x:v>→</x:v>
      </x:c>
      <x:c r="BE12" s="23" t="str">
        <x:v>Fantasy Football Brief ROS baseline; official NFL schedule</x:v>
      </x:c>
      <x:c r="BF12" s="23" t="str">
        <x:v>Current role and availability baseline; all adjustment factors shown numerically</x:v>
      </x:c>
      <x:c r="BG12" s="23" t="str">
        <x:v>Material injury, depth-chart, or role change</x:v>
      </x:c>
      <x:c r="BH12" s="24" t="str">
        <x:v>2026-09-23 10:35 CT</x:v>
      </x:c>
    </x:row>
    <x:row r="13">
      <x:c r="A13" s="12" t="str">
        <x:v>Jameis Winston</x:v>
      </x:c>
      <x:c r="B13" s="12" t="str">
        <x:v>NYG</x:v>
      </x:c>
      <x:c r="C13" s="12" t="str">
        <x:v>QB</x:v>
      </x:c>
      <x:c r="D13" s="12" t="str">
        <x:v>TEN</x:v>
      </x:c>
      <x:c r="E13" s="12" t="str">
        <x:v>Home</x:v>
      </x:c>
      <x:c r="F13" s="12" t="str">
        <x:v>2026-09-27</x:v>
      </x:c>
      <x:c r="G13" s="19" t="n">
        <x:v>1</x:v>
      </x:c>
      <x:c r="H13" s="20" t="str">
        <x:v>ACTIVE</x:v>
      </x:c>
      <x:c r="I13" s="20" t="n">
        <x:v>61</x:v>
      </x:c>
      <x:c r="J13" s="20" t="str">
        <x:v>Dropbacks</x:v>
      </x:c>
      <x:c r="K13" s="20" t="n">
        <x:v>36</x:v>
      </x:c>
      <x:c r="L13" s="21" t="n">
        <x:v>32</x:v>
      </x:c>
      <x:c r="M13" s="21" t="n">
        <x:v>19</x:v>
      </x:c>
      <x:c r="N13" s="21" t="n">
        <x:v>212</x:v>
      </x:c>
      <x:c r="O13" s="21" t="n">
        <x:v>1.2</x:v>
      </x:c>
      <x:c r="P13" s="21" t="n">
        <x:v>1.15</x:v>
      </x:c>
      <x:c r="Q13" s="21" t="n">
        <x:v>2</x:v>
      </x:c>
      <x:c r="R13" s="21" t="n">
        <x:v>8</x:v>
      </x:c>
      <x:c r="S13" s="21" t="n">
        <x:v>0.03</x:v>
      </x:c>
      <x:c r="T13" s="21" t="n">
        <x:v>0</x:v>
      </x:c>
      <x:c r="U13" s="21" t="n">
        <x:v>0</x:v>
      </x:c>
      <x:c r="V13" s="21" t="n">
        <x:v>0</x:v>
      </x:c>
      <x:c r="W13" s="21" t="n">
        <x:v>0</x:v>
      </x:c>
      <x:c r="X13" s="21" t="n">
        <x:v>0</x:v>
      </x:c>
      <x:c r="Y13" s="21" t="n">
        <x:v>0</x:v>
      </x:c>
      <x:c r="Z13" s="21" t="n">
        <x:v>0</x:v>
      </x:c>
      <x:c r="AA13" s="21" t="n">
        <x:v>0</x:v>
      </x:c>
      <x:c r="AB13" s="21" t="n">
        <x:v>0</x:v>
      </x:c>
      <x:c r="AC13" s="21" t="n">
        <x:v>0</x:v>
      </x:c>
      <x:c r="AD13" s="21" t="n">
        <x:v>0</x:v>
      </x:c>
      <x:c r="AE13" s="21" t="n">
        <x:v>0</x:v>
      </x:c>
      <x:c r="AF13" s="21" t="n">
        <x:v>0</x:v>
      </x:c>
      <x:c r="AG13" s="21" t="n">
        <x:v>0</x:v>
      </x:c>
      <x:c r="AH13" s="21" t="n">
        <x:v>0</x:v>
      </x:c>
      <x:c r="AI13" s="21" t="n">
        <x:v>0</x:v>
      </x:c>
      <x:c r="AJ13" s="21" t="n">
        <x:v>0</x:v>
      </x:c>
      <x:c r="AK13" s="21" t="n">
        <x:v>0</x:v>
      </x:c>
      <x:c r="AL13" s="21" t="n">
        <x:v>0</x:v>
      </x:c>
      <x:c r="AM13" s="21" t="n">
        <x:v>1</x:v>
      </x:c>
      <x:c r="AN13" s="21" t="n">
        <x:v>1</x:v>
      </x:c>
      <x:c r="AO13" s="21" t="n">
        <x:v>1</x:v>
      </x:c>
      <x:c r="AP13" s="21" t="n">
        <x:v>0.96</x:v>
      </x:c>
      <x:c r="AQ13" s="21" t="n">
        <x:v>1.02</x:v>
      </x:c>
      <x:c r="AR13" s="21" t="n">
        <x:v>1</x:v>
      </x:c>
      <x:c r="AS13" s="21" t="n">
        <x:v>1</x:v>
      </x:c>
      <x:c r="AT13" s="21" t="n">
        <x:v>1</x:v>
      </x:c>
      <x:c r="AU13" s="21" t="n">
        <x:v>0</x:v>
      </x:c>
      <x:c r="AV13" s="22" t="n">
        <x:f>IF(C13="QB",N13*0.04+O13*4-P13*2+R13*0.1+S13*6,IF(OR(C13="RB",C13="WR",C13="TE"),U13*0.1+V13*6+R13*0.1+S13*6+X13*0.5+Y13*0.1+Z13*6,IF(C13="K",AC13*3+AD13*4+AE13*5+AF13,IF(C13="DST",AG13+AH13*2+AI13*6+AL13,0))))</x:f>
        <x:v>11.96</x:v>
      </x:c>
      <x:c r="AW13" s="22" t="n">
        <x:f>(AV13+AU13)*G13</x:f>
        <x:v>11.96</x:v>
      </x:c>
      <x:c r="AX13" s="22" t="n">
        <x:f>MAX(0,AW13*IF(C13="QB",0.68,IF(C13="RB",0.58,IF(C13="WR",0.52,IF(C13="TE",0.50,IF(C13="K",0.55,0.40))))))</x:f>
        <x:v>8.132800000000001</x:v>
      </x:c>
      <x:c r="AY13" s="22" t="n">
        <x:f>AW13*IF(C13="QB",1.32,IF(C13="RB",1.45,IF(C13="WR",1.55,IF(C13="TE",1.60,IF(C13="K",1.45,1.65)))))</x:f>
        <x:v>15.787200000000002</x:v>
      </x:c>
      <x:c r="AZ13" s="12" t="str">
        <x:v>Low</x:v>
      </x:c>
      <x:c r="BA13" s="12" t="n">
        <x:v>2</x:v>
      </x:c>
      <x:c r="BB13" s="12" t="n">
        <x:f>COUNTIFS($C$2:$C$344,C13,$AW$2:$AW$344,"&gt;"&amp;AW13,$G$2:$G$344,"&gt;0")+COUNTIFS($C$2:C13,C13,$AW$2:AW13,AW13,$G$2:G13,"&gt;0")</x:f>
        <x:v>29</x:v>
      </x:c>
      <x:c r="BC13" s="12" t="n">
        <x:v>12</x:v>
      </x:c>
      <x:c r="BD13" s="12" t="str">
        <x:f>IF(BB13&lt;BC13,"↑",IF(BB13&gt;BC13,"↓","→"))</x:f>
        <x:v>↓</x:v>
      </x:c>
      <x:c r="BE13" s="23" t="str">
        <x:v>https://www.giants.com/news/jaxson-dart-to-miss-rest-of-regular-season-jameis-winston-to-start-quarterback-injury-john-harbaugh</x:v>
      </x:c>
      <x:c r="BF13" s="23" t="str">
        <x:v>Giants backup now confirmed starter. Relief11/27,111yards,0TD,1INT; full-week preparation permits regression to59.4% completions,6.63YPA, but lower rushing and greater turnover risk than inherited model. Not an automatic1QB start.</x:v>
      </x:c>
      <x:c r="BG13" s="23" t="str">
        <x:v>First full start: accuracy, pass volume and turnovers</x:v>
      </x:c>
      <x:c r="BH13" s="24" t="str">
        <x:v>2026-09-24 7:40 PM CT</x:v>
      </x:c>
    </x:row>
    <x:row r="14">
      <x:c r="A14" s="12" t="str">
        <x:v>Baker Mayfield</x:v>
      </x:c>
      <x:c r="B14" s="12" t="str">
        <x:v>TB</x:v>
      </x:c>
      <x:c r="C14" s="12" t="str">
        <x:v>QB</x:v>
      </x:c>
      <x:c r="D14" s="12" t="str">
        <x:v>MIN</x:v>
      </x:c>
      <x:c r="E14" s="12" t="str">
        <x:v>Home</x:v>
      </x:c>
      <x:c r="F14" s="12" t="str">
        <x:v>2026-09-27</x:v>
      </x:c>
      <x:c r="G14" s="19" t="n">
        <x:v>1</x:v>
      </x:c>
      <x:c r="H14" s="20" t="str">
        <x:v>ACTIVE</x:v>
      </x:c>
      <x:c r="I14" s="20" t="n">
        <x:v>62</x:v>
      </x:c>
      <x:c r="J14" s="20" t="str">
        <x:v>Dropbacks</x:v>
      </x:c>
      <x:c r="K14" s="20" t="n">
        <x:v>32.76201117318436</x:v>
      </x:c>
      <x:c r="L14" s="21" t="n">
        <x:v>28.960893854748605</x:v>
      </x:c>
      <x:c r="M14" s="21" t="n">
        <x:v>19.005586592178773</x:v>
      </x:c>
      <x:c r="N14" s="21" t="n">
        <x:v>214.99119553072626</x:v>
      </x:c>
      <x:c r="O14" s="21" t="n">
        <x:v>1.3436949720670393</x:v>
      </x:c>
      <x:c r="P14" s="21" t="n">
        <x:v>0.6335195530726256</x:v>
      </x:c>
      <x:c r="Q14" s="21" t="n">
        <x:v>3.8011173184357547</x:v>
      </x:c>
      <x:c r="R14" s="21" t="n">
        <x:v>22.394916201117322</x:v>
      </x:c>
      <x:c r="S14" s="21" t="n">
        <x:v>0.17915932960893857</x:v>
      </x:c>
      <x:c r="T14" s="21" t="n">
        <x:v>0</x:v>
      </x:c>
      <x:c r="U14" s="21" t="n">
        <x:v>0</x:v>
      </x:c>
      <x:c r="V14" s="21" t="n">
        <x:v>0</x:v>
      </x:c>
      <x:c r="W14" s="21" t="n">
        <x:v>0</x:v>
      </x:c>
      <x:c r="X14" s="21" t="n">
        <x:v>0</x:v>
      </x:c>
      <x:c r="Y14" s="21" t="n">
        <x:v>0</x:v>
      </x:c>
      <x:c r="Z14" s="21" t="n">
        <x:v>0</x:v>
      </x:c>
      <x:c r="AA14" s="21" t="n">
        <x:v>0</x:v>
      </x:c>
      <x:c r="AB14" s="21" t="n">
        <x:v>0</x:v>
      </x:c>
      <x:c r="AC14" s="21" t="n">
        <x:v>0</x:v>
      </x:c>
      <x:c r="AD14" s="21" t="n">
        <x:v>0</x:v>
      </x:c>
      <x:c r="AE14" s="21" t="n">
        <x:v>0</x:v>
      </x:c>
      <x:c r="AF14" s="21" t="n">
        <x:v>0</x:v>
      </x:c>
      <x:c r="AG14" s="21" t="n">
        <x:v>0</x:v>
      </x:c>
      <x:c r="AH14" s="21" t="n">
        <x:v>0</x:v>
      </x:c>
      <x:c r="AI14" s="21" t="n">
        <x:v>0</x:v>
      </x:c>
      <x:c r="AJ14" s="21" t="n">
        <x:v>0</x:v>
      </x:c>
      <x:c r="AK14" s="21" t="n">
        <x:v>0</x:v>
      </x:c>
      <x:c r="AL14" s="21" t="n">
        <x:v>0</x:v>
      </x:c>
      <x:c r="AM14" s="21" t="n">
        <x:v>1</x:v>
      </x:c>
      <x:c r="AN14" s="21" t="n">
        <x:v>1</x:v>
      </x:c>
      <x:c r="AO14" s="21" t="n">
        <x:v>1</x:v>
      </x:c>
      <x:c r="AP14" s="21" t="n">
        <x:v>1.01</x:v>
      </x:c>
      <x:c r="AQ14" s="21" t="n">
        <x:v>0.98</x:v>
      </x:c>
      <x:c r="AR14" s="21" t="n">
        <x:v>1</x:v>
      </x:c>
      <x:c r="AS14" s="21" t="n">
        <x:v>1</x:v>
      </x:c>
      <x:c r="AT14" s="21" t="n">
        <x:v>1</x:v>
      </x:c>
      <x:c r="AU14" s="21" t="n">
        <x:v>0</x:v>
      </x:c>
      <x:c r="AV14" s="22" t="n">
        <x:f>IF(C14="QB",N14*0.04+O14*4-P14*2+R14*0.1+S14*6,IF(OR(C14="RB",C14="WR",C14="TE"),U14*0.1+V14*6+R14*0.1+S14*6+X14*0.5+Y14*0.1+Z14*6,IF(C14="K",AC14*3+AD14*4+AE14*5+AF14,IF(C14="DST",AG14+AH14*2+AI14*6+AL14,0))))</x:f>
        <x:v>16.021836201117317</x:v>
      </x:c>
      <x:c r="AW14" s="22" t="n">
        <x:f>(AV14+AU14)*G14</x:f>
        <x:v>16.021836201117317</x:v>
      </x:c>
      <x:c r="AX14" s="22" t="n">
        <x:f>MAX(0,AW14*IF(C14="QB",0.68,IF(C14="RB",0.58,IF(C14="WR",0.52,IF(C14="TE",0.50,IF(C14="K",0.55,0.40))))))</x:f>
        <x:v>10.894848616759777</x:v>
      </x:c>
      <x:c r="AY14" s="22" t="n">
        <x:f>AW14*IF(C14="QB",1.32,IF(C14="RB",1.45,IF(C14="WR",1.55,IF(C14="TE",1.60,IF(C14="K",1.45,1.65)))))</x:f>
        <x:v>21.14882378547486</x:v>
      </x:c>
      <x:c r="AZ14" s="12" t="str">
        <x:v>High</x:v>
      </x:c>
      <x:c r="BA14" s="12" t="n">
        <x:v>3</x:v>
      </x:c>
      <x:c r="BB14" s="12" t="n">
        <x:f>COUNTIFS($C$2:$C$344,C14,$AW$2:$AW$344,"&gt;"&amp;AW14,$G$2:$G$344,"&gt;0")+COUNTIFS($C$2:C14,C14,$AW$2:AW14,AW14,$G$2:G14,"&gt;0")</x:f>
        <x:v>12</x:v>
      </x:c>
      <x:c r="BC14" s="12" t="n">
        <x:v>13</x:v>
      </x:c>
      <x:c r="BD14" s="12" t="str">
        <x:f>IF(BB14&lt;BC14,"↑",IF(BB14&gt;BC14,"↓","→"))</x:f>
        <x:v>↑</x:v>
      </x:c>
      <x:c r="BE14" s="23" t="str">
        <x:v>Fantasy Football Brief ROS baseline; official NFL schedule</x:v>
      </x:c>
      <x:c r="BF14" s="23" t="str">
        <x:v>Current role and availability baseline; all adjustment factors shown numerically</x:v>
      </x:c>
      <x:c r="BG14" s="23" t="str">
        <x:v>Material injury, depth-chart, or role change</x:v>
      </x:c>
      <x:c r="BH14" s="24" t="str">
        <x:v>2026-09-23 10:35 CT</x:v>
      </x:c>
    </x:row>
    <x:row r="15">
      <x:c r="A15" s="12" t="str">
        <x:v>Kyler Murray</x:v>
      </x:c>
      <x:c r="B15" s="12" t="str">
        <x:v>MIN</x:v>
      </x:c>
      <x:c r="C15" s="12" t="str">
        <x:v>QB</x:v>
      </x:c>
      <x:c r="D15" s="12" t="str">
        <x:v>TB</x:v>
      </x:c>
      <x:c r="E15" s="12" t="str">
        <x:v>Away</x:v>
      </x:c>
      <x:c r="F15" s="12" t="str">
        <x:v>2026-09-27</x:v>
      </x:c>
      <x:c r="G15" s="19" t="n">
        <x:v>1</x:v>
      </x:c>
      <x:c r="H15" s="20" t="str">
        <x:v>ACTIVE</x:v>
      </x:c>
      <x:c r="I15" s="20" t="n">
        <x:v>57.86666666666667</x:v>
      </x:c>
      <x:c r="J15" s="20" t="str">
        <x:v>Dropbacks</x:v>
      </x:c>
      <x:c r="K15" s="20" t="n">
        <x:v>32.155307262569835</x:v>
      </x:c>
      <x:c r="L15" s="21" t="n">
        <x:v>28.424581005586596</x:v>
      </x:c>
      <x:c r="M15" s="21" t="n">
        <x:v>18.653631284916205</x:v>
      </x:c>
      <x:c r="N15" s="21" t="n">
        <x:v>213.16303910614528</x:v>
      </x:c>
      <x:c r="O15" s="21" t="n">
        <x:v>1.332268994413408</x:v>
      </x:c>
      <x:c r="P15" s="21" t="n">
        <x:v>0.6217877094972067</x:v>
      </x:c>
      <x:c r="Q15" s="21" t="n">
        <x:v>3.7307262569832407</x:v>
      </x:c>
      <x:c r="R15" s="21" t="n">
        <x:v>22.204483240223468</x:v>
      </x:c>
      <x:c r="S15" s="21" t="n">
        <x:v>0.17763586592178773</x:v>
      </x:c>
      <x:c r="T15" s="21" t="n">
        <x:v>0</x:v>
      </x:c>
      <x:c r="U15" s="21" t="n">
        <x:v>0</x:v>
      </x:c>
      <x:c r="V15" s="21" t="n">
        <x:v>0</x:v>
      </x:c>
      <x:c r="W15" s="21" t="n">
        <x:v>0</x:v>
      </x:c>
      <x:c r="X15" s="21" t="n">
        <x:v>0</x:v>
      </x:c>
      <x:c r="Y15" s="21" t="n">
        <x:v>0</x:v>
      </x:c>
      <x:c r="Z15" s="21" t="n">
        <x:v>0</x:v>
      </x:c>
      <x:c r="AA15" s="21" t="n">
        <x:v>0</x:v>
      </x:c>
      <x:c r="AB15" s="21" t="n">
        <x:v>0</x:v>
      </x:c>
      <x:c r="AC15" s="21" t="n">
        <x:v>0</x:v>
      </x:c>
      <x:c r="AD15" s="21" t="n">
        <x:v>0</x:v>
      </x:c>
      <x:c r="AE15" s="21" t="n">
        <x:v>0</x:v>
      </x:c>
      <x:c r="AF15" s="21" t="n">
        <x:v>0</x:v>
      </x:c>
      <x:c r="AG15" s="21" t="n">
        <x:v>0</x:v>
      </x:c>
      <x:c r="AH15" s="21" t="n">
        <x:v>0</x:v>
      </x:c>
      <x:c r="AI15" s="21" t="n">
        <x:v>0</x:v>
      </x:c>
      <x:c r="AJ15" s="21" t="n">
        <x:v>0</x:v>
      </x:c>
      <x:c r="AK15" s="21" t="n">
        <x:v>0</x:v>
      </x:c>
      <x:c r="AL15" s="21" t="n">
        <x:v>0</x:v>
      </x:c>
      <x:c r="AM15" s="21" t="n">
        <x:v>1</x:v>
      </x:c>
      <x:c r="AN15" s="21" t="n">
        <x:v>1</x:v>
      </x:c>
      <x:c r="AO15" s="21" t="n">
        <x:v>1</x:v>
      </x:c>
      <x:c r="AP15" s="21" t="n">
        <x:v>0.99</x:v>
      </x:c>
      <x:c r="AQ15" s="21" t="n">
        <x:v>1.01</x:v>
      </x:c>
      <x:c r="AR15" s="21" t="n">
        <x:v>1</x:v>
      </x:c>
      <x:c r="AS15" s="21" t="n">
        <x:v>1</x:v>
      </x:c>
      <x:c r="AT15" s="21" t="n">
        <x:v>1</x:v>
      </x:c>
      <x:c r="AU15" s="21" t="n">
        <x:v>0</x:v>
      </x:c>
      <x:c r="AV15" s="22" t="n">
        <x:f>IF(C15="QB",N15*0.04+O15*4-P15*2+R15*0.1+S15*6,IF(OR(C15="RB",C15="WR",C15="TE"),U15*0.1+V15*6+R15*0.1+S15*6+X15*0.5+Y15*0.1+Z15*6,IF(C15="K",AC15*3+AD15*4+AE15*5+AF15,IF(C15="DST",AG15+AH15*2+AI15*6+AL15,0))))</x:f>
        <x:v>15.898285642458104</x:v>
      </x:c>
      <x:c r="AW15" s="22" t="n">
        <x:f>(AV15+AU15)*G15</x:f>
        <x:v>15.898285642458104</x:v>
      </x:c>
      <x:c r="AX15" s="22" t="n">
        <x:f>MAX(0,AW15*IF(C15="QB",0.68,IF(C15="RB",0.58,IF(C15="WR",0.52,IF(C15="TE",0.50,IF(C15="K",0.55,0.40))))))</x:f>
        <x:v>10.81083423687151</x:v>
      </x:c>
      <x:c r="AY15" s="22" t="n">
        <x:f>AW15*IF(C15="QB",1.32,IF(C15="RB",1.45,IF(C15="WR",1.55,IF(C15="TE",1.60,IF(C15="K",1.45,1.65)))))</x:f>
        <x:v>20.985737048044697</x:v>
      </x:c>
      <x:c r="AZ15" s="12" t="str">
        <x:v>High</x:v>
      </x:c>
      <x:c r="BA15" s="12" t="n">
        <x:v>3</x:v>
      </x:c>
      <x:c r="BB15" s="12" t="n">
        <x:f>COUNTIFS($C$2:$C$344,C15,$AW$2:$AW$344,"&gt;"&amp;AW15,$G$2:$G$344,"&gt;0")+COUNTIFS($C$2:C15,C15,$AW$2:AW15,AW15,$G$2:G15,"&gt;0")</x:f>
        <x:v>13</x:v>
      </x:c>
      <x:c r="BC15" s="12" t="n">
        <x:v>14</x:v>
      </x:c>
      <x:c r="BD15" s="12" t="str">
        <x:f>IF(BB15&lt;BC15,"↑",IF(BB15&gt;BC15,"↓","→"))</x:f>
        <x:v>↑</x:v>
      </x:c>
      <x:c r="BE15" s="23" t="str">
        <x:v>Team/national reporting, Sep. 22: cleared protocol and will start</x:v>
      </x:c>
      <x:c r="BF15" s="23" t="str">
        <x:v>Full starter projection restored.</x:v>
      </x:c>
      <x:c r="BG15" s="23" t="str">
        <x:v>Unexpected recurrence or late designation</x:v>
      </x:c>
      <x:c r="BH15" s="24" t="str">
        <x:v>2026-09-23 10:35 CT</x:v>
      </x:c>
    </x:row>
    <x:row r="16">
      <x:c r="A16" s="12" t="str">
        <x:v>Justin Herbert</x:v>
      </x:c>
      <x:c r="B16" s="12" t="str">
        <x:v>LAC</x:v>
      </x:c>
      <x:c r="C16" s="12" t="str">
        <x:v>QB</x:v>
      </x:c>
      <x:c r="D16" s="12" t="str">
        <x:v>BUF</x:v>
      </x:c>
      <x:c r="E16" s="12" t="str">
        <x:v>Away</x:v>
      </x:c>
      <x:c r="F16" s="12" t="str">
        <x:v>2026-09-27</x:v>
      </x:c>
      <x:c r="G16" s="19" t="n">
        <x:v>1</x:v>
      </x:c>
      <x:c r="H16" s="20" t="str">
        <x:v>ACTIVE</x:v>
      </x:c>
      <x:c r="I16" s="20" t="n">
        <x:v>62</x:v>
      </x:c>
      <x:c r="J16" s="20" t="str">
        <x:v>Dropbacks</x:v>
      </x:c>
      <x:c r="K16" s="20" t="n">
        <x:v>32.96424581005587</x:v>
      </x:c>
      <x:c r="L16" s="21" t="n">
        <x:v>29.139664804469277</x:v>
      </x:c>
      <x:c r="M16" s="21" t="n">
        <x:v>19.122905027932962</x:v>
      </x:c>
      <x:c r="N16" s="21" t="n">
        <x:v>211.9036424581006</x:v>
      </x:c>
      <x:c r="O16" s="21" t="n">
        <x:v>1.3243977653631287</x:v>
      </x:c>
      <x:c r="P16" s="21" t="n">
        <x:v>0.6374301675977654</x:v>
      </x:c>
      <x:c r="Q16" s="21" t="n">
        <x:v>3.8245810055865928</x:v>
      </x:c>
      <x:c r="R16" s="21" t="n">
        <x:v>22.073296089385476</x:v>
      </x:c>
      <x:c r="S16" s="21" t="n">
        <x:v>0.17658636871508382</x:v>
      </x:c>
      <x:c r="T16" s="21" t="n">
        <x:v>0</x:v>
      </x:c>
      <x:c r="U16" s="21" t="n">
        <x:v>0</x:v>
      </x:c>
      <x:c r="V16" s="21" t="n">
        <x:v>0</x:v>
      </x:c>
      <x:c r="W16" s="21" t="n">
        <x:v>0</x:v>
      </x:c>
      <x:c r="X16" s="21" t="n">
        <x:v>0</x:v>
      </x:c>
      <x:c r="Y16" s="21" t="n">
        <x:v>0</x:v>
      </x:c>
      <x:c r="Z16" s="21" t="n">
        <x:v>0</x:v>
      </x:c>
      <x:c r="AA16" s="21" t="n">
        <x:v>0</x:v>
      </x:c>
      <x:c r="AB16" s="21" t="n">
        <x:v>0</x:v>
      </x:c>
      <x:c r="AC16" s="21" t="n">
        <x:v>0</x:v>
      </x:c>
      <x:c r="AD16" s="21" t="n">
        <x:v>0</x:v>
      </x:c>
      <x:c r="AE16" s="21" t="n">
        <x:v>0</x:v>
      </x:c>
      <x:c r="AF16" s="21" t="n">
        <x:v>0</x:v>
      </x:c>
      <x:c r="AG16" s="21" t="n">
        <x:v>0</x:v>
      </x:c>
      <x:c r="AH16" s="21" t="n">
        <x:v>0</x:v>
      </x:c>
      <x:c r="AI16" s="21" t="n">
        <x:v>0</x:v>
      </x:c>
      <x:c r="AJ16" s="21" t="n">
        <x:v>0</x:v>
      </x:c>
      <x:c r="AK16" s="21" t="n">
        <x:v>0</x:v>
      </x:c>
      <x:c r="AL16" s="21" t="n">
        <x:v>0</x:v>
      </x:c>
      <x:c r="AM16" s="21" t="n">
        <x:v>1</x:v>
      </x:c>
      <x:c r="AN16" s="21" t="n">
        <x:v>1</x:v>
      </x:c>
      <x:c r="AO16" s="21" t="n">
        <x:v>1</x:v>
      </x:c>
      <x:c r="AP16" s="21" t="n">
        <x:v>1.01</x:v>
      </x:c>
      <x:c r="AQ16" s="21" t="n">
        <x:v>0.96</x:v>
      </x:c>
      <x:c r="AR16" s="21" t="n">
        <x:v>1</x:v>
      </x:c>
      <x:c r="AS16" s="21" t="n">
        <x:v>1</x:v>
      </x:c>
      <x:c r="AT16" s="21" t="n">
        <x:v>1</x:v>
      </x:c>
      <x:c r="AU16" s="21" t="n">
        <x:v>0</x:v>
      </x:c>
      <x:c r="AV16" s="22" t="n">
        <x:f>IF(C16="QB",N16*0.04+O16*4-P16*2+R16*0.1+S16*6,IF(OR(C16="RB",C16="WR",C16="TE"),U16*0.1+V16*6+R16*0.1+S16*6+X16*0.5+Y16*0.1+Z16*6,IF(C16="K",AC16*3+AD16*4+AE16*5+AF16,IF(C16="DST",AG16+AH16*2+AI16*6+AL16,0))))</x:f>
        <x:v>15.765724245810057</x:v>
      </x:c>
      <x:c r="AW16" s="22" t="n">
        <x:f>(AV16+AU16)*G16</x:f>
        <x:v>15.765724245810057</x:v>
      </x:c>
      <x:c r="AX16" s="22" t="n">
        <x:f>MAX(0,AW16*IF(C16="QB",0.68,IF(C16="RB",0.58,IF(C16="WR",0.52,IF(C16="TE",0.50,IF(C16="K",0.55,0.40))))))</x:f>
        <x:v>10.72069248715084</x:v>
      </x:c>
      <x:c r="AY16" s="22" t="n">
        <x:f>AW16*IF(C16="QB",1.32,IF(C16="RB",1.45,IF(C16="WR",1.55,IF(C16="TE",1.60,IF(C16="K",1.45,1.65)))))</x:f>
        <x:v>20.810756004469276</x:v>
      </x:c>
      <x:c r="AZ16" s="12" t="str">
        <x:v>High</x:v>
      </x:c>
      <x:c r="BA16" s="12" t="n">
        <x:v>3</x:v>
      </x:c>
      <x:c r="BB16" s="12" t="n">
        <x:f>COUNTIFS($C$2:$C$344,C16,$AW$2:$AW$344,"&gt;"&amp;AW16,$G$2:$G$344,"&gt;0")+COUNTIFS($C$2:C16,C16,$AW$2:AW16,AW16,$G$2:G16,"&gt;0")</x:f>
        <x:v>14</x:v>
      </x:c>
      <x:c r="BC16" s="12" t="n">
        <x:v>15</x:v>
      </x:c>
      <x:c r="BD16" s="12" t="str">
        <x:f>IF(BB16&lt;BC16,"↑",IF(BB16&gt;BC16,"↓","→"))</x:f>
        <x:v>↑</x:v>
      </x:c>
      <x:c r="BE16" s="23" t="str">
        <x:v>Fantasy Football Brief ROS baseline; official NFL schedule</x:v>
      </x:c>
      <x:c r="BF16" s="23" t="str">
        <x:v>Current role and availability baseline; all adjustment factors shown numerically</x:v>
      </x:c>
      <x:c r="BG16" s="23" t="str">
        <x:v>Material injury, depth-chart, or role change</x:v>
      </x:c>
      <x:c r="BH16" s="24" t="str">
        <x:v>2026-09-23 10:35 CT</x:v>
      </x:c>
    </x:row>
    <x:row r="17">
      <x:c r="A17" s="12" t="str">
        <x:v>Bo Nix</x:v>
      </x:c>
      <x:c r="B17" s="12" t="str">
        <x:v>DEN</x:v>
      </x:c>
      <x:c r="C17" s="12" t="str">
        <x:v>QB</x:v>
      </x:c>
      <x:c r="D17" s="12" t="str">
        <x:v>LAR</x:v>
      </x:c>
      <x:c r="E17" s="12" t="str">
        <x:v>Home</x:v>
      </x:c>
      <x:c r="F17" s="12" t="str">
        <x:v>2026-09-27</x:v>
      </x:c>
      <x:c r="G17" s="19" t="n">
        <x:v>1</x:v>
      </x:c>
      <x:c r="H17" s="20" t="str">
        <x:v>ACTIVE</x:v>
      </x:c>
      <x:c r="I17" s="20" t="n">
        <x:v>62</x:v>
      </x:c>
      <x:c r="J17" s="20" t="str">
        <x:v>Dropbacks</x:v>
      </x:c>
      <x:c r="K17" s="20" t="n">
        <x:v>31.953072625698326</x:v>
      </x:c>
      <x:c r="L17" s="21" t="n">
        <x:v>28.245810055865924</x:v>
      </x:c>
      <x:c r="M17" s="21" t="n">
        <x:v>18.536312849162012</x:v>
      </x:c>
      <x:c r="N17" s="21" t="n">
        <x:v>207.60670391061453</x:v>
      </x:c>
      <x:c r="O17" s="21" t="n">
        <x:v>1.297541899441341</x:v>
      </x:c>
      <x:c r="P17" s="21" t="n">
        <x:v>0.617877094972067</x:v>
      </x:c>
      <x:c r="Q17" s="21" t="n">
        <x:v>3.7072625698324027</x:v>
      </x:c>
      <x:c r="R17" s="21" t="n">
        <x:v>21.625698324022345</x:v>
      </x:c>
      <x:c r="S17" s="21" t="n">
        <x:v>0.1730055865921788</x:v>
      </x:c>
      <x:c r="T17" s="21" t="n">
        <x:v>0</x:v>
      </x:c>
      <x:c r="U17" s="21" t="n">
        <x:v>0</x:v>
      </x:c>
      <x:c r="V17" s="21" t="n">
        <x:v>0</x:v>
      </x:c>
      <x:c r="W17" s="21" t="n">
        <x:v>0</x:v>
      </x:c>
      <x:c r="X17" s="21" t="n">
        <x:v>0</x:v>
      </x:c>
      <x:c r="Y17" s="21" t="n">
        <x:v>0</x:v>
      </x:c>
      <x:c r="Z17" s="21" t="n">
        <x:v>0</x:v>
      </x:c>
      <x:c r="AA17" s="21" t="n">
        <x:v>0</x:v>
      </x:c>
      <x:c r="AB17" s="21" t="n">
        <x:v>0</x:v>
      </x:c>
      <x:c r="AC17" s="21" t="n">
        <x:v>0</x:v>
      </x:c>
      <x:c r="AD17" s="21" t="n">
        <x:v>0</x:v>
      </x:c>
      <x:c r="AE17" s="21" t="n">
        <x:v>0</x:v>
      </x:c>
      <x:c r="AF17" s="21" t="n">
        <x:v>0</x:v>
      </x:c>
      <x:c r="AG17" s="21" t="n">
        <x:v>0</x:v>
      </x:c>
      <x:c r="AH17" s="21" t="n">
        <x:v>0</x:v>
      </x:c>
      <x:c r="AI17" s="21" t="n">
        <x:v>0</x:v>
      </x:c>
      <x:c r="AJ17" s="21" t="n">
        <x:v>0</x:v>
      </x:c>
      <x:c r="AK17" s="21" t="n">
        <x:v>0</x:v>
      </x:c>
      <x:c r="AL17" s="21" t="n">
        <x:v>0</x:v>
      </x:c>
      <x:c r="AM17" s="21" t="n">
        <x:v>1</x:v>
      </x:c>
      <x:c r="AN17" s="21" t="n">
        <x:v>1</x:v>
      </x:c>
      <x:c r="AO17" s="21" t="n">
        <x:v>1</x:v>
      </x:c>
      <x:c r="AP17" s="21" t="n">
        <x:v>1</x:v>
      </x:c>
      <x:c r="AQ17" s="21" t="n">
        <x:v>0.98</x:v>
      </x:c>
      <x:c r="AR17" s="21" t="n">
        <x:v>1</x:v>
      </x:c>
      <x:c r="AS17" s="21" t="n">
        <x:v>1</x:v>
      </x:c>
      <x:c r="AT17" s="21" t="n">
        <x:v>1</x:v>
      </x:c>
      <x:c r="AU17" s="21" t="n">
        <x:v>0</x:v>
      </x:c>
      <x:c r="AV17" s="22" t="n">
        <x:f>IF(C17="QB",N17*0.04+O17*4-P17*2+R17*0.1+S17*6,IF(OR(C17="RB",C17="WR",C17="TE"),U17*0.1+V17*6+R17*0.1+S17*6+X17*0.5+Y17*0.1+Z17*6,IF(C17="K",AC17*3+AD17*4+AE17*5+AF17,IF(C17="DST",AG17+AH17*2+AI17*6+AL17,0))))</x:f>
        <x:v>15.459284916201119</x:v>
      </x:c>
      <x:c r="AW17" s="22" t="n">
        <x:f>(AV17+AU17)*G17</x:f>
        <x:v>15.459284916201119</x:v>
      </x:c>
      <x:c r="AX17" s="22" t="n">
        <x:f>MAX(0,AW17*IF(C17="QB",0.68,IF(C17="RB",0.58,IF(C17="WR",0.52,IF(C17="TE",0.50,IF(C17="K",0.55,0.40))))))</x:f>
        <x:v>10.512313743016762</x:v>
      </x:c>
      <x:c r="AY17" s="22" t="n">
        <x:f>AW17*IF(C17="QB",1.32,IF(C17="RB",1.45,IF(C17="WR",1.55,IF(C17="TE",1.60,IF(C17="K",1.45,1.65)))))</x:f>
        <x:v>20.40625608938548</x:v>
      </x:c>
      <x:c r="AZ17" s="12" t="str">
        <x:v>High</x:v>
      </x:c>
      <x:c r="BA17" s="12" t="n">
        <x:v>3</x:v>
      </x:c>
      <x:c r="BB17" s="12" t="n">
        <x:f>COUNTIFS($C$2:$C$344,C17,$AW$2:$AW$344,"&gt;"&amp;AW17,$G$2:$G$344,"&gt;0")+COUNTIFS($C$2:C17,C17,$AW$2:AW17,AW17,$G$2:G17,"&gt;0")</x:f>
        <x:v>15</x:v>
      </x:c>
      <x:c r="BC17" s="12" t="n">
        <x:v>16</x:v>
      </x:c>
      <x:c r="BD17" s="12" t="str">
        <x:f>IF(BB17&lt;BC17,"↑",IF(BB17&gt;BC17,"↓","→"))</x:f>
        <x:v>↑</x:v>
      </x:c>
      <x:c r="BE17" s="23" t="str">
        <x:v>Fantasy Football Brief ROS baseline; official NFL schedule</x:v>
      </x:c>
      <x:c r="BF17" s="23" t="str">
        <x:v>Current role and availability baseline; all adjustment factors shown numerically</x:v>
      </x:c>
      <x:c r="BG17" s="23" t="str">
        <x:v>Material injury, depth-chart, or role change</x:v>
      </x:c>
      <x:c r="BH17" s="24" t="str">
        <x:v>2026-09-23 10:35 CT</x:v>
      </x:c>
    </x:row>
    <x:row r="18">
      <x:c r="A18" s="12" t="str">
        <x:v>Tyler Shough</x:v>
      </x:c>
      <x:c r="B18" s="12" t="str">
        <x:v>NO</x:v>
      </x:c>
      <x:c r="C18" s="12" t="str">
        <x:v>QB</x:v>
      </x:c>
      <x:c r="D18" s="12" t="str">
        <x:v>LV</x:v>
      </x:c>
      <x:c r="E18" s="12" t="str">
        <x:v>Home</x:v>
      </x:c>
      <x:c r="F18" s="12" t="str">
        <x:v>2026-09-27</x:v>
      </x:c>
      <x:c r="G18" s="19" t="n">
        <x:v>1</x:v>
      </x:c>
      <x:c r="H18" s="20" t="str">
        <x:v>ACTIVE</x:v>
      </x:c>
      <x:c r="I18" s="20" t="n">
        <x:v>62</x:v>
      </x:c>
      <x:c r="J18" s="20" t="str">
        <x:v>Dropbacks</x:v>
      </x:c>
      <x:c r="K18" s="20" t="n">
        <x:v>31.54860335195531</x:v>
      </x:c>
      <x:c r="L18" s="21" t="n">
        <x:v>27.888268156424584</x:v>
      </x:c>
      <x:c r="M18" s="21" t="n">
        <x:v>18.301675977653634</x:v>
      </x:c>
      <x:c r="N18" s="21" t="n">
        <x:v>207.0703910614525</x:v>
      </x:c>
      <x:c r="O18" s="21" t="n">
        <x:v>1.2941899441340783</x:v>
      </x:c>
      <x:c r="P18" s="21" t="n">
        <x:v>0.6100558659217877</x:v>
      </x:c>
      <x:c r="Q18" s="21" t="n">
        <x:v>3.6603351955307266</x:v>
      </x:c>
      <x:c r="R18" s="21" t="n">
        <x:v>21.56983240223464</x:v>
      </x:c>
      <x:c r="S18" s="21" t="n">
        <x:v>0.17255865921787714</x:v>
      </x:c>
      <x:c r="T18" s="21" t="n">
        <x:v>0</x:v>
      </x:c>
      <x:c r="U18" s="21" t="n">
        <x:v>0</x:v>
      </x:c>
      <x:c r="V18" s="21" t="n">
        <x:v>0</x:v>
      </x:c>
      <x:c r="W18" s="21" t="n">
        <x:v>0</x:v>
      </x:c>
      <x:c r="X18" s="21" t="n">
        <x:v>0</x:v>
      </x:c>
      <x:c r="Y18" s="21" t="n">
        <x:v>0</x:v>
      </x:c>
      <x:c r="Z18" s="21" t="n">
        <x:v>0</x:v>
      </x:c>
      <x:c r="AA18" s="21" t="n">
        <x:v>0</x:v>
      </x:c>
      <x:c r="AB18" s="21" t="n">
        <x:v>0</x:v>
      </x:c>
      <x:c r="AC18" s="21" t="n">
        <x:v>0</x:v>
      </x:c>
      <x:c r="AD18" s="21" t="n">
        <x:v>0</x:v>
      </x:c>
      <x:c r="AE18" s="21" t="n">
        <x:v>0</x:v>
      </x:c>
      <x:c r="AF18" s="21" t="n">
        <x:v>0</x:v>
      </x:c>
      <x:c r="AG18" s="21" t="n">
        <x:v>0</x:v>
      </x:c>
      <x:c r="AH18" s="21" t="n">
        <x:v>0</x:v>
      </x:c>
      <x:c r="AI18" s="21" t="n">
        <x:v>0</x:v>
      </x:c>
      <x:c r="AJ18" s="21" t="n">
        <x:v>0</x:v>
      </x:c>
      <x:c r="AK18" s="21" t="n">
        <x:v>0</x:v>
      </x:c>
      <x:c r="AL18" s="21" t="n">
        <x:v>0</x:v>
      </x:c>
      <x:c r="AM18" s="21" t="n">
        <x:v>1</x:v>
      </x:c>
      <x:c r="AN18" s="21" t="n">
        <x:v>1</x:v>
      </x:c>
      <x:c r="AO18" s="21" t="n">
        <x:v>1</x:v>
      </x:c>
      <x:c r="AP18" s="21" t="n">
        <x:v>0.99</x:v>
      </x:c>
      <x:c r="AQ18" s="21" t="n">
        <x:v>1</x:v>
      </x:c>
      <x:c r="AR18" s="21" t="n">
        <x:v>1</x:v>
      </x:c>
      <x:c r="AS18" s="21" t="n">
        <x:v>1</x:v>
      </x:c>
      <x:c r="AT18" s="21" t="n">
        <x:v>1</x:v>
      </x:c>
      <x:c r="AU18" s="21" t="n">
        <x:v>0</x:v>
      </x:c>
      <x:c r="AV18" s="22" t="n">
        <x:f>IF(C18="QB",N18*0.04+O18*4-P18*2+R18*0.1+S18*6,IF(OR(C18="RB",C18="WR",C18="TE"),U18*0.1+V18*6+R18*0.1+S18*6+X18*0.5+Y18*0.1+Z18*6,IF(C18="K",AC18*3+AD18*4+AE18*5+AF18,IF(C18="DST",AG18+AH18*2+AI18*6+AL18,0))))</x:f>
        <x:v>15.431798882681566</x:v>
      </x:c>
      <x:c r="AW18" s="22" t="n">
        <x:f>(AV18+AU18)*G18</x:f>
        <x:v>15.431798882681566</x:v>
      </x:c>
      <x:c r="AX18" s="22" t="n">
        <x:f>MAX(0,AW18*IF(C18="QB",0.68,IF(C18="RB",0.58,IF(C18="WR",0.52,IF(C18="TE",0.50,IF(C18="K",0.55,0.40))))))</x:f>
        <x:v>10.493623240223465</x:v>
      </x:c>
      <x:c r="AY18" s="22" t="n">
        <x:f>AW18*IF(C18="QB",1.32,IF(C18="RB",1.45,IF(C18="WR",1.55,IF(C18="TE",1.60,IF(C18="K",1.45,1.65)))))</x:f>
        <x:v>20.369974525139668</x:v>
      </x:c>
      <x:c r="AZ18" s="12" t="str">
        <x:v>High</x:v>
      </x:c>
      <x:c r="BA18" s="12" t="n">
        <x:v>3</x:v>
      </x:c>
      <x:c r="BB18" s="12" t="n">
        <x:f>COUNTIFS($C$2:$C$344,C18,$AW$2:$AW$344,"&gt;"&amp;AW18,$G$2:$G$344,"&gt;0")+COUNTIFS($C$2:C18,C18,$AW$2:AW18,AW18,$G$2:G18,"&gt;0")</x:f>
        <x:v>16</x:v>
      </x:c>
      <x:c r="BC18" s="12" t="n">
        <x:v>17</x:v>
      </x:c>
      <x:c r="BD18" s="12" t="str">
        <x:f>IF(BB18&lt;BC18,"↑",IF(BB18&gt;BC18,"↓","→"))</x:f>
        <x:v>↑</x:v>
      </x:c>
      <x:c r="BE18" s="23" t="str">
        <x:v>Fantasy Football Brief ROS baseline; official NFL schedule</x:v>
      </x:c>
      <x:c r="BF18" s="23" t="str">
        <x:v>Current role and availability baseline; all adjustment factors shown numerically</x:v>
      </x:c>
      <x:c r="BG18" s="23" t="str">
        <x:v>Material injury, depth-chart, or role change</x:v>
      </x:c>
      <x:c r="BH18" s="24" t="str">
        <x:v>2026-09-23 10:35 CT</x:v>
      </x:c>
    </x:row>
    <x:row r="19">
      <x:c r="A19" s="12" t="str">
        <x:v>Matthew Stafford</x:v>
      </x:c>
      <x:c r="B19" s="12" t="str">
        <x:v>LAR</x:v>
      </x:c>
      <x:c r="C19" s="12" t="str">
        <x:v>QB</x:v>
      </x:c>
      <x:c r="D19" s="12" t="str">
        <x:v>DEN</x:v>
      </x:c>
      <x:c r="E19" s="12" t="str">
        <x:v>Away</x:v>
      </x:c>
      <x:c r="F19" s="12" t="str">
        <x:v>2026-09-27</x:v>
      </x:c>
      <x:c r="G19" s="19" t="n">
        <x:v>1</x:v>
      </x:c>
      <x:c r="H19" s="20" t="str">
        <x:v>ACTIVE</x:v>
      </x:c>
      <x:c r="I19" s="20" t="n">
        <x:v>62</x:v>
      </x:c>
      <x:c r="J19" s="20" t="str">
        <x:v>Dropbacks</x:v>
      </x:c>
      <x:c r="K19" s="20" t="n">
        <x:v>32.55977653631285</x:v>
      </x:c>
      <x:c r="L19" s="21" t="n">
        <x:v>28.782122905027936</x:v>
      </x:c>
      <x:c r="M19" s="21" t="n">
        <x:v>18.888268156424584</x:v>
      </x:c>
      <x:c r="N19" s="21" t="n">
        <x:v>204.55454748603356</x:v>
      </x:c>
      <x:c r="O19" s="21" t="n">
        <x:v>1.27846592178771</x:v>
      </x:c>
      <x:c r="P19" s="21" t="n">
        <x:v>0.6296089385474861</x:v>
      </x:c>
      <x:c r="Q19" s="21" t="n">
        <x:v>3.7776536312849167</x:v>
      </x:c>
      <x:c r="R19" s="21" t="n">
        <x:v>21.307765363128496</x:v>
      </x:c>
      <x:c r="S19" s="21" t="n">
        <x:v>0.170462122905028</x:v>
      </x:c>
      <x:c r="T19" s="21" t="n">
        <x:v>0</x:v>
      </x:c>
      <x:c r="U19" s="21" t="n">
        <x:v>0</x:v>
      </x:c>
      <x:c r="V19" s="21" t="n">
        <x:v>0</x:v>
      </x:c>
      <x:c r="W19" s="21" t="n">
        <x:v>0</x:v>
      </x:c>
      <x:c r="X19" s="21" t="n">
        <x:v>0</x:v>
      </x:c>
      <x:c r="Y19" s="21" t="n">
        <x:v>0</x:v>
      </x:c>
      <x:c r="Z19" s="21" t="n">
        <x:v>0</x:v>
      </x:c>
      <x:c r="AA19" s="21" t="n">
        <x:v>0</x:v>
      </x:c>
      <x:c r="AB19" s="21" t="n">
        <x:v>0</x:v>
      </x:c>
      <x:c r="AC19" s="21" t="n">
        <x:v>0</x:v>
      </x:c>
      <x:c r="AD19" s="21" t="n">
        <x:v>0</x:v>
      </x:c>
      <x:c r="AE19" s="21" t="n">
        <x:v>0</x:v>
      </x:c>
      <x:c r="AF19" s="21" t="n">
        <x:v>0</x:v>
      </x:c>
      <x:c r="AG19" s="21" t="n">
        <x:v>0</x:v>
      </x:c>
      <x:c r="AH19" s="21" t="n">
        <x:v>0</x:v>
      </x:c>
      <x:c r="AI19" s="21" t="n">
        <x:v>0</x:v>
      </x:c>
      <x:c r="AJ19" s="21" t="n">
        <x:v>0</x:v>
      </x:c>
      <x:c r="AK19" s="21" t="n">
        <x:v>0</x:v>
      </x:c>
      <x:c r="AL19" s="21" t="n">
        <x:v>0</x:v>
      </x:c>
      <x:c r="AM19" s="21" t="n">
        <x:v>1</x:v>
      </x:c>
      <x:c r="AN19" s="21" t="n">
        <x:v>1</x:v>
      </x:c>
      <x:c r="AO19" s="21" t="n">
        <x:v>1</x:v>
      </x:c>
      <x:c r="AP19" s="21" t="n">
        <x:v>1.03</x:v>
      </x:c>
      <x:c r="AQ19" s="21" t="n">
        <x:v>0.92</x:v>
      </x:c>
      <x:c r="AR19" s="21" t="n">
        <x:v>1</x:v>
      </x:c>
      <x:c r="AS19" s="21" t="n">
        <x:v>1</x:v>
      </x:c>
      <x:c r="AT19" s="21" t="n">
        <x:v>1</x:v>
      </x:c>
      <x:c r="AU19" s="21" t="n">
        <x:v>0</x:v>
      </x:c>
      <x:c r="AV19" s="22" t="n">
        <x:f>IF(C19="QB",N19*0.04+O19*4-P19*2+R19*0.1+S19*6,IF(OR(C19="RB",C19="WR",C19="TE"),U19*0.1+V19*6+R19*0.1+S19*6+X19*0.5+Y19*0.1+Z19*6,IF(C19="K",AC19*3+AD19*4+AE19*5+AF19,IF(C19="DST",AG19+AH19*2+AI19*6+AL19,0))))</x:f>
        <x:v>15.190376983240228</x:v>
      </x:c>
      <x:c r="AW19" s="22" t="n">
        <x:f>(AV19+AU19)*G19</x:f>
        <x:v>15.190376983240228</x:v>
      </x:c>
      <x:c r="AX19" s="22" t="n">
        <x:f>MAX(0,AW19*IF(C19="QB",0.68,IF(C19="RB",0.58,IF(C19="WR",0.52,IF(C19="TE",0.50,IF(C19="K",0.55,0.40))))))</x:f>
        <x:v>10.329456348603355</x:v>
      </x:c>
      <x:c r="AY19" s="22" t="n">
        <x:f>AW19*IF(C19="QB",1.32,IF(C19="RB",1.45,IF(C19="WR",1.55,IF(C19="TE",1.60,IF(C19="K",1.45,1.65)))))</x:f>
        <x:v>20.0512976178771</x:v>
      </x:c>
      <x:c r="AZ19" s="12" t="str">
        <x:v>High</x:v>
      </x:c>
      <x:c r="BA19" s="12" t="n">
        <x:v>3</x:v>
      </x:c>
      <x:c r="BB19" s="12" t="n">
        <x:f>COUNTIFS($C$2:$C$344,C19,$AW$2:$AW$344,"&gt;"&amp;AW19,$G$2:$G$344,"&gt;0")+COUNTIFS($C$2:C19,C19,$AW$2:AW19,AW19,$G$2:G19,"&gt;0")</x:f>
        <x:v>17</x:v>
      </x:c>
      <x:c r="BC19" s="12" t="n">
        <x:v>18</x:v>
      </x:c>
      <x:c r="BD19" s="12" t="str">
        <x:f>IF(BB19&lt;BC19,"↑",IF(BB19&gt;BC19,"↓","→"))</x:f>
        <x:v>↑</x:v>
      </x:c>
      <x:c r="BE19" s="23" t="str">
        <x:v>Fantasy Football Brief ROS baseline; official NFL schedule</x:v>
      </x:c>
      <x:c r="BF19" s="23" t="str">
        <x:v>Current role and availability baseline; all adjustment factors shown numerically</x:v>
      </x:c>
      <x:c r="BG19" s="23" t="str">
        <x:v>Material injury, depth-chart, or role change</x:v>
      </x:c>
      <x:c r="BH19" s="24" t="str">
        <x:v>2026-09-23 10:35 CT</x:v>
      </x:c>
    </x:row>
    <x:row r="20">
      <x:c r="A20" s="12" t="str">
        <x:v>C.J. Stroud</x:v>
      </x:c>
      <x:c r="B20" s="12" t="str">
        <x:v>HOU</x:v>
      </x:c>
      <x:c r="C20" s="12" t="str">
        <x:v>QB</x:v>
      </x:c>
      <x:c r="D20" s="12" t="str">
        <x:v>IND</x:v>
      </x:c>
      <x:c r="E20" s="12" t="str">
        <x:v>Away</x:v>
      </x:c>
      <x:c r="F20" s="12" t="str">
        <x:v>2026-09-27</x:v>
      </x:c>
      <x:c r="G20" s="19" t="n">
        <x:v>1</x:v>
      </x:c>
      <x:c r="H20" s="20" t="str">
        <x:v>ACTIVE</x:v>
      </x:c>
      <x:c r="I20" s="20" t="n">
        <x:v>62</x:v>
      </x:c>
      <x:c r="J20" s="20" t="str">
        <x:v>Dropbacks</x:v>
      </x:c>
      <x:c r="K20" s="20" t="n">
        <x:v>29.728491620111736</x:v>
      </x:c>
      <x:c r="L20" s="21" t="n">
        <x:v>26.27932960893855</x:v>
      </x:c>
      <x:c r="M20" s="21" t="n">
        <x:v>17.245810055865924</x:v>
      </x:c>
      <x:c r="N20" s="21" t="n">
        <x:v>200.9777430167598</x:v>
      </x:c>
      <x:c r="O20" s="21" t="n">
        <x:v>1.2561108938547487</x:v>
      </x:c>
      <x:c r="P20" s="21" t="n">
        <x:v>0.5748603351955307</x:v>
      </x:c>
      <x:c r="Q20" s="21" t="n">
        <x:v>3.449162011173185</x:v>
      </x:c>
      <x:c r="R20" s="21" t="n">
        <x:v>20.935181564245813</x:v>
      </x:c>
      <x:c r="S20" s="21" t="n">
        <x:v>0.1674814525139665</x:v>
      </x:c>
      <x:c r="T20" s="21" t="n">
        <x:v>0</x:v>
      </x:c>
      <x:c r="U20" s="21" t="n">
        <x:v>0</x:v>
      </x:c>
      <x:c r="V20" s="21" t="n">
        <x:v>0</x:v>
      </x:c>
      <x:c r="W20" s="21" t="n">
        <x:v>0</x:v>
      </x:c>
      <x:c r="X20" s="21" t="n">
        <x:v>0</x:v>
      </x:c>
      <x:c r="Y20" s="21" t="n">
        <x:v>0</x:v>
      </x:c>
      <x:c r="Z20" s="21" t="n">
        <x:v>0</x:v>
      </x:c>
      <x:c r="AA20" s="21" t="n">
        <x:v>0</x:v>
      </x:c>
      <x:c r="AB20" s="21" t="n">
        <x:v>0</x:v>
      </x:c>
      <x:c r="AC20" s="21" t="n">
        <x:v>0</x:v>
      </x:c>
      <x:c r="AD20" s="21" t="n">
        <x:v>0</x:v>
      </x:c>
      <x:c r="AE20" s="21" t="n">
        <x:v>0</x:v>
      </x:c>
      <x:c r="AF20" s="21" t="n">
        <x:v>0</x:v>
      </x:c>
      <x:c r="AG20" s="21" t="n">
        <x:v>0</x:v>
      </x:c>
      <x:c r="AH20" s="21" t="n">
        <x:v>0</x:v>
      </x:c>
      <x:c r="AI20" s="21" t="n">
        <x:v>0</x:v>
      </x:c>
      <x:c r="AJ20" s="21" t="n">
        <x:v>0</x:v>
      </x:c>
      <x:c r="AK20" s="21" t="n">
        <x:v>0</x:v>
      </x:c>
      <x:c r="AL20" s="21" t="n">
        <x:v>0</x:v>
      </x:c>
      <x:c r="AM20" s="21" t="n">
        <x:v>1</x:v>
      </x:c>
      <x:c r="AN20" s="21" t="n">
        <x:v>1</x:v>
      </x:c>
      <x:c r="AO20" s="21" t="n">
        <x:v>1</x:v>
      </x:c>
      <x:c r="AP20" s="21" t="n">
        <x:v>0.99</x:v>
      </x:c>
      <x:c r="AQ20" s="21" t="n">
        <x:v>1.03</x:v>
      </x:c>
      <x:c r="AR20" s="21" t="n">
        <x:v>1</x:v>
      </x:c>
      <x:c r="AS20" s="21" t="n">
        <x:v>1</x:v>
      </x:c>
      <x:c r="AT20" s="21" t="n">
        <x:v>1</x:v>
      </x:c>
      <x:c r="AU20" s="21" t="n">
        <x:v>0</x:v>
      </x:c>
      <x:c r="AV20" s="22" t="n">
        <x:f>IF(C20="QB",N20*0.04+O20*4-P20*2+R20*0.1+S20*6,IF(OR(C20="RB",C20="WR",C20="TE"),U20*0.1+V20*6+R20*0.1+S20*6+X20*0.5+Y20*0.1+Z20*6,IF(C20="K",AC20*3+AD20*4+AE20*5+AF20,IF(C20="DST",AG20+AH20*2+AI20*6+AL20,0))))</x:f>
        <x:v>15.012239497206707</x:v>
      </x:c>
      <x:c r="AW20" s="22" t="n">
        <x:f>(AV20+AU20)*G20</x:f>
        <x:v>15.012239497206707</x:v>
      </x:c>
      <x:c r="AX20" s="22" t="n">
        <x:f>MAX(0,AW20*IF(C20="QB",0.68,IF(C20="RB",0.58,IF(C20="WR",0.52,IF(C20="TE",0.50,IF(C20="K",0.55,0.40))))))</x:f>
        <x:v>10.208322858100562</x:v>
      </x:c>
      <x:c r="AY20" s="22" t="n">
        <x:f>AW20*IF(C20="QB",1.32,IF(C20="RB",1.45,IF(C20="WR",1.55,IF(C20="TE",1.60,IF(C20="K",1.45,1.65)))))</x:f>
        <x:v>19.816156136312856</x:v>
      </x:c>
      <x:c r="AZ20" s="12" t="str">
        <x:v>High</x:v>
      </x:c>
      <x:c r="BA20" s="12" t="n">
        <x:v>4</x:v>
      </x:c>
      <x:c r="BB20" s="12" t="n">
        <x:f>COUNTIFS($C$2:$C$344,C20,$AW$2:$AW$344,"&gt;"&amp;AW20,$G$2:$G$344,"&gt;0")+COUNTIFS($C$2:C20,C20,$AW$2:AW20,AW20,$G$2:G20,"&gt;0")</x:f>
        <x:v>18</x:v>
      </x:c>
      <x:c r="BC20" s="12" t="n">
        <x:v>19</x:v>
      </x:c>
      <x:c r="BD20" s="12" t="str">
        <x:f>IF(BB20&lt;BC20,"↑",IF(BB20&gt;BC20,"↓","→"))</x:f>
        <x:v>↑</x:v>
      </x:c>
      <x:c r="BE20" s="23" t="str">
        <x:v>Fantasy Football Brief ROS baseline; official NFL schedule</x:v>
      </x:c>
      <x:c r="BF20" s="23" t="str">
        <x:v>Current role and availability baseline; all adjustment factors shown numerically</x:v>
      </x:c>
      <x:c r="BG20" s="23" t="str">
        <x:v>Material injury, depth-chart, or role change</x:v>
      </x:c>
      <x:c r="BH20" s="24" t="str">
        <x:v>2026-09-23 10:35 CT</x:v>
      </x:c>
    </x:row>
    <x:row r="21">
      <x:c r="A21" s="12" t="str">
        <x:v>Michael Penix Jr.</x:v>
      </x:c>
      <x:c r="B21" s="12" t="str">
        <x:v>ATL</x:v>
      </x:c>
      <x:c r="C21" s="12" t="str">
        <x:v>QB</x:v>
      </x:c>
      <x:c r="D21" s="12" t="str">
        <x:v>GB</x:v>
      </x:c>
      <x:c r="E21" s="12" t="str">
        <x:v>Away</x:v>
      </x:c>
      <x:c r="F21" s="12" t="str">
        <x:v>2026-09-24</x:v>
      </x:c>
      <x:c r="G21" s="19" t="n">
        <x:v>1</x:v>
      </x:c>
      <x:c r="H21" s="20" t="str">
        <x:v>ACTIVE</x:v>
      </x:c>
      <x:c r="I21" s="20" t="n">
        <x:v>56.95733333333334</x:v>
      </x:c>
      <x:c r="J21" s="20" t="str">
        <x:v>Dropbacks</x:v>
      </x:c>
      <x:c r="K21" s="20" t="n">
        <x:v>31.72656983240224</x:v>
      </x:c>
      <x:c r="L21" s="21" t="n">
        <x:v>28.045586592178775</x:v>
      </x:c>
      <x:c r="M21" s="21" t="n">
        <x:v>18.40491620111732</x:v>
      </x:c>
      <x:c r="N21" s="21" t="n">
        <x:v>195.87037675977655</x:v>
      </x:c>
      <x:c r="O21" s="21" t="n">
        <x:v>1.2241898547486034</x:v>
      </x:c>
      <x:c r="P21" s="21" t="n">
        <x:v>0.5787709497206704</x:v>
      </x:c>
      <x:c r="Q21" s="21" t="n">
        <x:v>3.6809832402234646</x:v>
      </x:c>
      <x:c r="R21" s="21" t="n">
        <x:v>20.403164245810057</x:v>
      </x:c>
      <x:c r="S21" s="21" t="n">
        <x:v>0.1632253139664805</x:v>
      </x:c>
      <x:c r="T21" s="21" t="n">
        <x:v>0</x:v>
      </x:c>
      <x:c r="U21" s="21" t="n">
        <x:v>0</x:v>
      </x:c>
      <x:c r="V21" s="21" t="n">
        <x:v>0</x:v>
      </x:c>
      <x:c r="W21" s="21" t="n">
        <x:v>0</x:v>
      </x:c>
      <x:c r="X21" s="21" t="n">
        <x:v>0</x:v>
      </x:c>
      <x:c r="Y21" s="21" t="n">
        <x:v>0</x:v>
      </x:c>
      <x:c r="Z21" s="21" t="n">
        <x:v>0</x:v>
      </x:c>
      <x:c r="AA21" s="21" t="n">
        <x:v>0</x:v>
      </x:c>
      <x:c r="AB21" s="21" t="n">
        <x:v>0</x:v>
      </x:c>
      <x:c r="AC21" s="21" t="n">
        <x:v>0</x:v>
      </x:c>
      <x:c r="AD21" s="21" t="n">
        <x:v>0</x:v>
      </x:c>
      <x:c r="AE21" s="21" t="n">
        <x:v>0</x:v>
      </x:c>
      <x:c r="AF21" s="21" t="n">
        <x:v>0</x:v>
      </x:c>
      <x:c r="AG21" s="21" t="n">
        <x:v>0</x:v>
      </x:c>
      <x:c r="AH21" s="21" t="n">
        <x:v>0</x:v>
      </x:c>
      <x:c r="AI21" s="21" t="n">
        <x:v>0</x:v>
      </x:c>
      <x:c r="AJ21" s="21" t="n">
        <x:v>0</x:v>
      </x:c>
      <x:c r="AK21" s="21" t="n">
        <x:v>0</x:v>
      </x:c>
      <x:c r="AL21" s="21" t="n">
        <x:v>0</x:v>
      </x:c>
      <x:c r="AM21" s="21" t="n">
        <x:v>1</x:v>
      </x:c>
      <x:c r="AN21" s="21" t="n">
        <x:v>1.06</x:v>
      </x:c>
      <x:c r="AO21" s="21" t="n">
        <x:v>1</x:v>
      </x:c>
      <x:c r="AP21" s="21" t="n">
        <x:v>0.97</x:v>
      </x:c>
      <x:c r="AQ21" s="21" t="n">
        <x:v>0.96</x:v>
      </x:c>
      <x:c r="AR21" s="21" t="n">
        <x:v>1</x:v>
      </x:c>
      <x:c r="AS21" s="21" t="n">
        <x:v>1</x:v>
      </x:c>
      <x:c r="AT21" s="21" t="n">
        <x:v>1</x:v>
      </x:c>
      <x:c r="AU21" s="21" t="n">
        <x:v>0</x:v>
      </x:c>
      <x:c r="AV21" s="22" t="n">
        <x:f>IF(C21="QB",N21*0.04+O21*4-P21*2+R21*0.1+S21*6,IF(OR(C21="RB",C21="WR",C21="TE"),U21*0.1+V21*6+R21*0.1+S21*6+X21*0.5+Y21*0.1+Z21*6,IF(C21="K",AC21*3+AD21*4+AE21*5+AF21,IF(C21="DST",AG21+AH21*2+AI21*6+AL21,0))))</x:f>
        <x:v>14.593700898324023</x:v>
      </x:c>
      <x:c r="AW21" s="22" t="n">
        <x:f>(AV21+AU21)*G21</x:f>
        <x:v>14.593700898324023</x:v>
      </x:c>
      <x:c r="AX21" s="22" t="n">
        <x:f>MAX(0,AW21*IF(C21="QB",0.68,IF(C21="RB",0.58,IF(C21="WR",0.52,IF(C21="TE",0.50,IF(C21="K",0.55,0.40))))))</x:f>
        <x:v>9.923716610860337</x:v>
      </x:c>
      <x:c r="AY21" s="22" t="n">
        <x:f>AW21*IF(C21="QB",1.32,IF(C21="RB",1.45,IF(C21="WR",1.55,IF(C21="TE",1.60,IF(C21="K",1.45,1.65)))))</x:f>
        <x:v>19.26368518578771</x:v>
      </x:c>
      <x:c r="AZ21" s="12" t="str">
        <x:v>High</x:v>
      </x:c>
      <x:c r="BA21" s="12" t="n">
        <x:v>4</x:v>
      </x:c>
      <x:c r="BB21" s="12" t="n">
        <x:f>COUNTIFS($C$2:$C$344,C21,$AW$2:$AW$344,"&gt;"&amp;AW21,$G$2:$G$344,"&gt;0")+COUNTIFS($C$2:C21,C21,$AW$2:AW21,AW21,$G$2:G21,"&gt;0")</x:f>
        <x:v>19</x:v>
      </x:c>
      <x:c r="BC21" s="12" t="n">
        <x:v>20</x:v>
      </x:c>
      <x:c r="BD21" s="12" t="str">
        <x:f>IF(BB21&lt;BC21,"↑",IF(BB21&gt;BC21,"↓","→"))</x:f>
        <x:v>↑</x:v>
      </x:c>
      <x:c r="BE21" s="23" t="str">
        <x:v>Atlanta Falcons, Sep. 23: Penix named Week 3 starter</x:v>
      </x:c>
      <x:c r="BF21" s="23" t="str">
        <x:v>Starter confirmation restores the full game projection; modest efficiency discount remains after ACL return.</x:v>
      </x:c>
      <x:c r="BG21" s="23" t="str">
        <x:v>Thursday pregame warmups and any late snap-limit report</x:v>
      </x:c>
      <x:c r="BH21" s="24" t="str">
        <x:v>2026-09-23 10:35 CT</x:v>
      </x:c>
    </x:row>
    <x:row r="22">
      <x:c r="A22" s="12" t="str">
        <x:v>Geno Smith</x:v>
      </x:c>
      <x:c r="B22" s="12" t="str">
        <x:v>NYJ</x:v>
      </x:c>
      <x:c r="C22" s="12" t="str">
        <x:v>QB</x:v>
      </x:c>
      <x:c r="D22" s="12" t="str">
        <x:v>DET</x:v>
      </x:c>
      <x:c r="E22" s="12" t="str">
        <x:v>Away</x:v>
      </x:c>
      <x:c r="F22" s="12" t="str">
        <x:v>2026-09-27</x:v>
      </x:c>
      <x:c r="G22" s="19" t="n">
        <x:v>1</x:v>
      </x:c>
      <x:c r="H22" s="20" t="str">
        <x:v>ACTIVE</x:v>
      </x:c>
      <x:c r="I22" s="20" t="n">
        <x:v>62</x:v>
      </x:c>
      <x:c r="J22" s="20" t="str">
        <x:v>Dropbacks</x:v>
      </x:c>
      <x:c r="K22" s="20" t="n">
        <x:v>28.71731843575419</x:v>
      </x:c>
      <x:c r="L22" s="21" t="n">
        <x:v>25.385474860335197</x:v>
      </x:c>
      <x:c r="M22" s="21" t="n">
        <x:v>16.659217877094974</x:v>
      </x:c>
      <x:c r="N22" s="21" t="n">
        <x:v>192.06650279329608</x:v>
      </x:c>
      <x:c r="O22" s="21" t="n">
        <x:v>1.2004156424581005</x:v>
      </x:c>
      <x:c r="P22" s="21" t="n">
        <x:v>0.5553072625698324</x:v>
      </x:c>
      <x:c r="Q22" s="21" t="n">
        <x:v>3.331843575418995</x:v>
      </x:c>
      <x:c r="R22" s="21" t="n">
        <x:v>20.006927374301675</x:v>
      </x:c>
      <x:c r="S22" s="21" t="n">
        <x:v>0.16005541899441342</x:v>
      </x:c>
      <x:c r="T22" s="21" t="n">
        <x:v>0</x:v>
      </x:c>
      <x:c r="U22" s="21" t="n">
        <x:v>0</x:v>
      </x:c>
      <x:c r="V22" s="21" t="n">
        <x:v>0</x:v>
      </x:c>
      <x:c r="W22" s="21" t="n">
        <x:v>0</x:v>
      </x:c>
      <x:c r="X22" s="21" t="n">
        <x:v>0</x:v>
      </x:c>
      <x:c r="Y22" s="21" t="n">
        <x:v>0</x:v>
      </x:c>
      <x:c r="Z22" s="21" t="n">
        <x:v>0</x:v>
      </x:c>
      <x:c r="AA22" s="21" t="n">
        <x:v>0</x:v>
      </x:c>
      <x:c r="AB22" s="21" t="n">
        <x:v>0</x:v>
      </x:c>
      <x:c r="AC22" s="21" t="n">
        <x:v>0</x:v>
      </x:c>
      <x:c r="AD22" s="21" t="n">
        <x:v>0</x:v>
      </x:c>
      <x:c r="AE22" s="21" t="n">
        <x:v>0</x:v>
      </x:c>
      <x:c r="AF22" s="21" t="n">
        <x:v>0</x:v>
      </x:c>
      <x:c r="AG22" s="21" t="n">
        <x:v>0</x:v>
      </x:c>
      <x:c r="AH22" s="21" t="n">
        <x:v>0</x:v>
      </x:c>
      <x:c r="AI22" s="21" t="n">
        <x:v>0</x:v>
      </x:c>
      <x:c r="AJ22" s="21" t="n">
        <x:v>0</x:v>
      </x:c>
      <x:c r="AK22" s="21" t="n">
        <x:v>0</x:v>
      </x:c>
      <x:c r="AL22" s="21" t="n">
        <x:v>0</x:v>
      </x:c>
      <x:c r="AM22" s="21" t="n">
        <x:v>1</x:v>
      </x:c>
      <x:c r="AN22" s="21" t="n">
        <x:v>1</x:v>
      </x:c>
      <x:c r="AO22" s="21" t="n">
        <x:v>1</x:v>
      </x:c>
      <x:c r="AP22" s="21" t="n">
        <x:v>0.97</x:v>
      </x:c>
      <x:c r="AQ22" s="21" t="n">
        <x:v>1.04</x:v>
      </x:c>
      <x:c r="AR22" s="21" t="n">
        <x:v>1</x:v>
      </x:c>
      <x:c r="AS22" s="21" t="n">
        <x:v>1</x:v>
      </x:c>
      <x:c r="AT22" s="21" t="n">
        <x:v>1</x:v>
      </x:c>
      <x:c r="AU22" s="21" t="n">
        <x:v>0</x:v>
      </x:c>
      <x:c r="AV22" s="22" t="n">
        <x:f>IF(C22="QB",N22*0.04+O22*4-P22*2+R22*0.1+S22*6,IF(OR(C22="RB",C22="WR",C22="TE"),U22*0.1+V22*6+R22*0.1+S22*6+X22*0.5+Y22*0.1+Z22*6,IF(C22="K",AC22*3+AD22*4+AE22*5+AF22,IF(C22="DST",AG22+AH22*2+AI22*6+AL22,0))))</x:f>
        <x:v>14.33473340782123</x:v>
      </x:c>
      <x:c r="AW22" s="22" t="n">
        <x:f>(AV22+AU22)*G22</x:f>
        <x:v>14.33473340782123</x:v>
      </x:c>
      <x:c r="AX22" s="22" t="n">
        <x:f>MAX(0,AW22*IF(C22="QB",0.68,IF(C22="RB",0.58,IF(C22="WR",0.52,IF(C22="TE",0.50,IF(C22="K",0.55,0.40))))))</x:f>
        <x:v>9.747618717318437</x:v>
      </x:c>
      <x:c r="AY22" s="22" t="n">
        <x:f>AW22*IF(C22="QB",1.32,IF(C22="RB",1.45,IF(C22="WR",1.55,IF(C22="TE",1.60,IF(C22="K",1.45,1.65)))))</x:f>
        <x:v>18.921848098324023</x:v>
      </x:c>
      <x:c r="AZ22" s="12" t="str">
        <x:v>High</x:v>
      </x:c>
      <x:c r="BA22" s="12" t="n">
        <x:v>4</x:v>
      </x:c>
      <x:c r="BB22" s="12" t="n">
        <x:f>COUNTIFS($C$2:$C$344,C22,$AW$2:$AW$344,"&gt;"&amp;AW22,$G$2:$G$344,"&gt;0")+COUNTIFS($C$2:C22,C22,$AW$2:AW22,AW22,$G$2:G22,"&gt;0")</x:f>
        <x:v>20</x:v>
      </x:c>
      <x:c r="BC22" s="12" t="n">
        <x:v>21</x:v>
      </x:c>
      <x:c r="BD22" s="12" t="str">
        <x:f>IF(BB22&lt;BC22,"↑",IF(BB22&gt;BC22,"↓","→"))</x:f>
        <x:v>↑</x:v>
      </x:c>
      <x:c r="BE22" s="23" t="str">
        <x:v>Fantasy Football Brief ROS baseline; official NFL schedule</x:v>
      </x:c>
      <x:c r="BF22" s="23" t="str">
        <x:v>Current role and availability baseline; all adjustment factors shown numerically</x:v>
      </x:c>
      <x:c r="BG22" s="23" t="str">
        <x:v>Material injury, depth-chart, or role change</x:v>
      </x:c>
      <x:c r="BH22" s="24" t="str">
        <x:v>2026-09-23 10:35 CT</x:v>
      </x:c>
    </x:row>
    <x:row r="23">
      <x:c r="A23" s="12" t="str">
        <x:v>Cam Ward</x:v>
      </x:c>
      <x:c r="B23" s="12" t="str">
        <x:v>TEN</x:v>
      </x:c>
      <x:c r="C23" s="12" t="str">
        <x:v>QB</x:v>
      </x:c>
      <x:c r="D23" s="12" t="str">
        <x:v>NYG</x:v>
      </x:c>
      <x:c r="E23" s="12" t="str">
        <x:v>Away</x:v>
      </x:c>
      <x:c r="F23" s="12" t="str">
        <x:v>2026-09-27</x:v>
      </x:c>
      <x:c r="G23" s="19" t="n">
        <x:v>1</x:v>
      </x:c>
      <x:c r="H23" s="20" t="str">
        <x:v>ACTIVE</x:v>
      </x:c>
      <x:c r="I23" s="20" t="n">
        <x:v>62</x:v>
      </x:c>
      <x:c r="J23" s="20" t="str">
        <x:v>Dropbacks</x:v>
      </x:c>
      <x:c r="K23" s="20" t="n">
        <x:v>29.324022346368718</x:v>
      </x:c>
      <x:c r="L23" s="21" t="n">
        <x:v>25.92178770949721</x:v>
      </x:c>
      <x:c r="M23" s="21" t="n">
        <x:v>17.011173184357546</x:v>
      </x:c>
      <x:c r="N23" s="21" t="n">
        <x:v>192.2359776536313</x:v>
      </x:c>
      <x:c r="O23" s="21" t="n">
        <x:v>1.2014748603351957</x:v>
      </x:c>
      <x:c r="P23" s="21" t="n">
        <x:v>0.5670391061452514</x:v>
      </x:c>
      <x:c r="Q23" s="21" t="n">
        <x:v>3.402234636871509</x:v>
      </x:c>
      <x:c r="R23" s="21" t="n">
        <x:v>20.024581005586597</x:v>
      </x:c>
      <x:c r="S23" s="21" t="n">
        <x:v>0.16019664804469277</x:v>
      </x:c>
      <x:c r="T23" s="21" t="n">
        <x:v>0</x:v>
      </x:c>
      <x:c r="U23" s="21" t="n">
        <x:v>0</x:v>
      </x:c>
      <x:c r="V23" s="21" t="n">
        <x:v>0</x:v>
      </x:c>
      <x:c r="W23" s="21" t="n">
        <x:v>0</x:v>
      </x:c>
      <x:c r="X23" s="21" t="n">
        <x:v>0</x:v>
      </x:c>
      <x:c r="Y23" s="21" t="n">
        <x:v>0</x:v>
      </x:c>
      <x:c r="Z23" s="21" t="n">
        <x:v>0</x:v>
      </x:c>
      <x:c r="AA23" s="21" t="n">
        <x:v>0</x:v>
      </x:c>
      <x:c r="AB23" s="21" t="n">
        <x:v>0</x:v>
      </x:c>
      <x:c r="AC23" s="21" t="n">
        <x:v>0</x:v>
      </x:c>
      <x:c r="AD23" s="21" t="n">
        <x:v>0</x:v>
      </x:c>
      <x:c r="AE23" s="21" t="n">
        <x:v>0</x:v>
      </x:c>
      <x:c r="AF23" s="21" t="n">
        <x:v>0</x:v>
      </x:c>
      <x:c r="AG23" s="21" t="n">
        <x:v>0</x:v>
      </x:c>
      <x:c r="AH23" s="21" t="n">
        <x:v>0</x:v>
      </x:c>
      <x:c r="AI23" s="21" t="n">
        <x:v>0</x:v>
      </x:c>
      <x:c r="AJ23" s="21" t="n">
        <x:v>0</x:v>
      </x:c>
      <x:c r="AK23" s="21" t="n">
        <x:v>0</x:v>
      </x:c>
      <x:c r="AL23" s="21" t="n">
        <x:v>0</x:v>
      </x:c>
      <x:c r="AM23" s="21" t="n">
        <x:v>1</x:v>
      </x:c>
      <x:c r="AN23" s="21" t="n">
        <x:v>1</x:v>
      </x:c>
      <x:c r="AO23" s="21" t="n">
        <x:v>1</x:v>
      </x:c>
      <x:c r="AP23" s="21" t="n">
        <x:v>0.96</x:v>
      </x:c>
      <x:c r="AQ23" s="21" t="n">
        <x:v>1.03</x:v>
      </x:c>
      <x:c r="AR23" s="21" t="n">
        <x:v>1</x:v>
      </x:c>
      <x:c r="AS23" s="21" t="n">
        <x:v>1</x:v>
      </x:c>
      <x:c r="AT23" s="21" t="n">
        <x:v>1</x:v>
      </x:c>
      <x:c r="AU23" s="21" t="n">
        <x:v>0</x:v>
      </x:c>
      <x:c r="AV23" s="22" t="n">
        <x:f>IF(C23="QB",N23*0.04+O23*4-P23*2+R23*0.1+S23*6,IF(OR(C23="RB",C23="WR",C23="TE"),U23*0.1+V23*6+R23*0.1+S23*6+X23*0.5+Y23*0.1+Z23*6,IF(C23="K",AC23*3+AD23*4+AE23*5+AF23,IF(C23="DST",AG23+AH23*2+AI23*6+AL23,0))))</x:f>
        <x:v>14.324898324022351</x:v>
      </x:c>
      <x:c r="AW23" s="22" t="n">
        <x:f>(AV23+AU23)*G23</x:f>
        <x:v>14.324898324022351</x:v>
      </x:c>
      <x:c r="AX23" s="22" t="n">
        <x:f>MAX(0,AW23*IF(C23="QB",0.68,IF(C23="RB",0.58,IF(C23="WR",0.52,IF(C23="TE",0.50,IF(C23="K",0.55,0.40))))))</x:f>
        <x:v>9.7409308603352</x:v>
      </x:c>
      <x:c r="AY23" s="22" t="n">
        <x:f>AW23*IF(C23="QB",1.32,IF(C23="RB",1.45,IF(C23="WR",1.55,IF(C23="TE",1.60,IF(C23="K",1.45,1.65)))))</x:f>
        <x:v>18.908865787709505</x:v>
      </x:c>
      <x:c r="AZ23" s="12" t="str">
        <x:v>High</x:v>
      </x:c>
      <x:c r="BA23" s="12" t="n">
        <x:v>4</x:v>
      </x:c>
      <x:c r="BB23" s="12" t="n">
        <x:f>COUNTIFS($C$2:$C$344,C23,$AW$2:$AW$344,"&gt;"&amp;AW23,$G$2:$G$344,"&gt;0")+COUNTIFS($C$2:C23,C23,$AW$2:AW23,AW23,$G$2:G23,"&gt;0")</x:f>
        <x:v>21</x:v>
      </x:c>
      <x:c r="BC23" s="12" t="n">
        <x:v>22</x:v>
      </x:c>
      <x:c r="BD23" s="12" t="str">
        <x:f>IF(BB23&lt;BC23,"↑",IF(BB23&gt;BC23,"↓","→"))</x:f>
        <x:v>↑</x:v>
      </x:c>
      <x:c r="BE23" s="23" t="str">
        <x:v>Fantasy Football Brief ROS baseline; official NFL schedule</x:v>
      </x:c>
      <x:c r="BF23" s="23" t="str">
        <x:v>Current role and availability baseline; all adjustment factors shown numerically</x:v>
      </x:c>
      <x:c r="BG23" s="23" t="str">
        <x:v>Material injury, depth-chart, or role change</x:v>
      </x:c>
      <x:c r="BH23" s="24" t="str">
        <x:v>2026-09-23 10:35 CT</x:v>
      </x:c>
    </x:row>
    <x:row r="24">
      <x:c r="A24" s="12" t="str">
        <x:v>Marcus Mariota</x:v>
      </x:c>
      <x:c r="B24" s="12" t="str">
        <x:v>WAS</x:v>
      </x:c>
      <x:c r="C24" s="12" t="str">
        <x:v>QB</x:v>
      </x:c>
      <x:c r="D24" s="12" t="str">
        <x:v>SEA</x:v>
      </x:c>
      <x:c r="E24" s="12" t="str">
        <x:v>Home</x:v>
      </x:c>
      <x:c r="F24" s="12" t="str">
        <x:v>2026-09-27</x:v>
      </x:c>
      <x:c r="G24" s="19" t="n">
        <x:v>1</x:v>
      </x:c>
      <x:c r="H24" s="20" t="str">
        <x:v>ACTIVE</x:v>
      </x:c>
      <x:c r="I24" s="20" t="n">
        <x:v>10.746666666666666</x:v>
      </x:c>
      <x:c r="J24" s="20" t="str">
        <x:v>Dropbacks</x:v>
      </x:c>
      <x:c r="K24" s="20" t="n">
        <x:v>30.496983240223468</x:v>
      </x:c>
      <x:c r="L24" s="21" t="n">
        <x:v>26.9586592178771</x:v>
      </x:c>
      <x:c r="M24" s="21" t="n">
        <x:v>17.691620111731847</x:v>
      </x:c>
      <x:c r="N24" s="21" t="n">
        <x:v>192.20176089385478</x:v>
      </x:c>
      <x:c r="O24" s="21" t="n">
        <x:v>1.2012610055865924</x:v>
      </x:c>
      <x:c r="P24" s="21" t="n">
        <x:v>0.5670391061452514</x:v>
      </x:c>
      <x:c r="Q24" s="21" t="n">
        <x:v>3.5383240223463694</x:v>
      </x:c>
      <x:c r="R24" s="21" t="n">
        <x:v>20.021016759776543</x:v>
      </x:c>
      <x:c r="S24" s="21" t="n">
        <x:v>0.16016813407821232</x:v>
      </x:c>
      <x:c r="T24" s="21" t="n">
        <x:v>0</x:v>
      </x:c>
      <x:c r="U24" s="21" t="n">
        <x:v>0</x:v>
      </x:c>
      <x:c r="V24" s="21" t="n">
        <x:v>0</x:v>
      </x:c>
      <x:c r="W24" s="21" t="n">
        <x:v>0</x:v>
      </x:c>
      <x:c r="X24" s="21" t="n">
        <x:v>0</x:v>
      </x:c>
      <x:c r="Y24" s="21" t="n">
        <x:v>0</x:v>
      </x:c>
      <x:c r="Z24" s="21" t="n">
        <x:v>0</x:v>
      </x:c>
      <x:c r="AA24" s="21" t="n">
        <x:v>0</x:v>
      </x:c>
      <x:c r="AB24" s="21" t="n">
        <x:v>0</x:v>
      </x:c>
      <x:c r="AC24" s="21" t="n">
        <x:v>0</x:v>
      </x:c>
      <x:c r="AD24" s="21" t="n">
        <x:v>0</x:v>
      </x:c>
      <x:c r="AE24" s="21" t="n">
        <x:v>0</x:v>
      </x:c>
      <x:c r="AF24" s="21" t="n">
        <x:v>0</x:v>
      </x:c>
      <x:c r="AG24" s="21" t="n">
        <x:v>0</x:v>
      </x:c>
      <x:c r="AH24" s="21" t="n">
        <x:v>0</x:v>
      </x:c>
      <x:c r="AI24" s="21" t="n">
        <x:v>0</x:v>
      </x:c>
      <x:c r="AJ24" s="21" t="n">
        <x:v>0</x:v>
      </x:c>
      <x:c r="AK24" s="21" t="n">
        <x:v>0</x:v>
      </x:c>
      <x:c r="AL24" s="21" t="n">
        <x:v>0</x:v>
      </x:c>
      <x:c r="AM24" s="21" t="n">
        <x:v>1</x:v>
      </x:c>
      <x:c r="AN24" s="21" t="n">
        <x:v>1.04</x:v>
      </x:c>
      <x:c r="AO24" s="21" t="n">
        <x:v>1</x:v>
      </x:c>
      <x:c r="AP24" s="21" t="n">
        <x:v>0.97</x:v>
      </x:c>
      <x:c r="AQ24" s="21" t="n">
        <x:v>0.98</x:v>
      </x:c>
      <x:c r="AR24" s="21" t="n">
        <x:v>1</x:v>
      </x:c>
      <x:c r="AS24" s="21" t="n">
        <x:v>1</x:v>
      </x:c>
      <x:c r="AT24" s="21" t="n">
        <x:v>1</x:v>
      </x:c>
      <x:c r="AU24" s="21" t="n">
        <x:v>0</x:v>
      </x:c>
      <x:c r="AV24" s="22" t="n">
        <x:f>IF(C24="QB",N24*0.04+O24*4-P24*2+R24*0.1+S24*6,IF(OR(C24="RB",C24="WR",C24="TE"),U24*0.1+V24*6+R24*0.1+S24*6+X24*0.5+Y24*0.1+Z24*6,IF(C24="K",AC24*3+AD24*4+AE24*5+AF24,IF(C24="DST",AG24+AH24*2+AI24*6+AL24,0))))</x:f>
        <x:v>14.322146726256985</x:v>
      </x:c>
      <x:c r="AW24" s="22" t="n">
        <x:f>(AV24+AU24)*G24</x:f>
        <x:v>14.322146726256985</x:v>
      </x:c>
      <x:c r="AX24" s="22" t="n">
        <x:f>MAX(0,AW24*IF(C24="QB",0.68,IF(C24="RB",0.58,IF(C24="WR",0.52,IF(C24="TE",0.50,IF(C24="K",0.55,0.40))))))</x:f>
        <x:v>9.73905977385475</x:v>
      </x:c>
      <x:c r="AY24" s="22" t="n">
        <x:f>AW24*IF(C24="QB",1.32,IF(C24="RB",1.45,IF(C24="WR",1.55,IF(C24="TE",1.60,IF(C24="K",1.45,1.65)))))</x:f>
        <x:v>18.905233678659222</x:v>
      </x:c>
      <x:c r="AZ24" s="12" t="str">
        <x:v>High</x:v>
      </x:c>
      <x:c r="BA24" s="12" t="n">
        <x:v>4</x:v>
      </x:c>
      <x:c r="BB24" s="12" t="n">
        <x:f>COUNTIFS($C$2:$C$344,C24,$AW$2:$AW$344,"&gt;"&amp;AW24,$G$2:$G$344,"&gt;0")+COUNTIFS($C$2:C24,C24,$AW$2:AW24,AW24,$G$2:G24,"&gt;0")</x:f>
        <x:v>22</x:v>
      </x:c>
      <x:c r="BC24" s="12" t="n">
        <x:v>23</x:v>
      </x:c>
      <x:c r="BD24" s="12" t="str">
        <x:f>IF(BB24&lt;BC24,"↑",IF(BB24&gt;BC24,"↓","→"))</x:f>
        <x:v>↑</x:v>
      </x:c>
      <x:c r="BE24" s="23" t="str">
        <x:v>Credentialed national reporting, Sep. 21: Mariota expected to start Week 3</x:v>
      </x:c>
      <x:c r="BF24" s="23" t="str">
        <x:v>Full starter workload replaces prior backup probability.</x:v>
      </x:c>
      <x:c r="BG24" s="23" t="str">
        <x:v>Washington practice report and official starter confirmation</x:v>
      </x:c>
      <x:c r="BH24" s="24" t="str">
        <x:v>2026-09-23 10:35 CT</x:v>
      </x:c>
    </x:row>
    <x:row r="25">
      <x:c r="A25" s="12" t="str">
        <x:v>Malik Willis</x:v>
      </x:c>
      <x:c r="B25" s="12" t="str">
        <x:v>MIA</x:v>
      </x:c>
      <x:c r="C25" s="12" t="str">
        <x:v>QB</x:v>
      </x:c>
      <x:c r="D25" s="12" t="str">
        <x:v>KC</x:v>
      </x:c>
      <x:c r="E25" s="12" t="str">
        <x:v>Home</x:v>
      </x:c>
      <x:c r="F25" s="12" t="str">
        <x:v>2026-09-27</x:v>
      </x:c>
      <x:c r="G25" s="19" t="n">
        <x:v>1</x:v>
      </x:c>
      <x:c r="H25" s="20" t="str">
        <x:v>ACTIVE</x:v>
      </x:c>
      <x:c r="I25" s="20" t="n">
        <x:v>62</x:v>
      </x:c>
      <x:c r="J25" s="20" t="str">
        <x:v>Dropbacks</x:v>
      </x:c>
      <x:c r="K25" s="20" t="n">
        <x:v>31.54860335195531</x:v>
      </x:c>
      <x:c r="L25" s="21" t="n">
        <x:v>27.888268156424584</x:v>
      </x:c>
      <x:c r="M25" s="21" t="n">
        <x:v>18.301675977653634</x:v>
      </x:c>
      <x:c r="N25" s="21" t="n">
        <x:v>192.7427932960894</x:v>
      </x:c>
      <x:c r="O25" s="21" t="n">
        <x:v>1.2046424581005588</x:v>
      </x:c>
      <x:c r="P25" s="21" t="n">
        <x:v>0.6100558659217877</x:v>
      </x:c>
      <x:c r="Q25" s="21" t="n">
        <x:v>3.6603351955307266</x:v>
      </x:c>
      <x:c r="R25" s="21" t="n">
        <x:v>20.077374301675977</x:v>
      </x:c>
      <x:c r="S25" s="21" t="n">
        <x:v>0.16061899441340785</x:v>
      </x:c>
      <x:c r="T25" s="21" t="n">
        <x:v>0</x:v>
      </x:c>
      <x:c r="U25" s="21" t="n">
        <x:v>0</x:v>
      </x:c>
      <x:c r="V25" s="21" t="n">
        <x:v>0</x:v>
      </x:c>
      <x:c r="W25" s="21" t="n">
        <x:v>0</x:v>
      </x:c>
      <x:c r="X25" s="21" t="n">
        <x:v>0</x:v>
      </x:c>
      <x:c r="Y25" s="21" t="n">
        <x:v>0</x:v>
      </x:c>
      <x:c r="Z25" s="21" t="n">
        <x:v>0</x:v>
      </x:c>
      <x:c r="AA25" s="21" t="n">
        <x:v>0</x:v>
      </x:c>
      <x:c r="AB25" s="21" t="n">
        <x:v>0</x:v>
      </x:c>
      <x:c r="AC25" s="21" t="n">
        <x:v>0</x:v>
      </x:c>
      <x:c r="AD25" s="21" t="n">
        <x:v>0</x:v>
      </x:c>
      <x:c r="AE25" s="21" t="n">
        <x:v>0</x:v>
      </x:c>
      <x:c r="AF25" s="21" t="n">
        <x:v>0</x:v>
      </x:c>
      <x:c r="AG25" s="21" t="n">
        <x:v>0</x:v>
      </x:c>
      <x:c r="AH25" s="21" t="n">
        <x:v>0</x:v>
      </x:c>
      <x:c r="AI25" s="21" t="n">
        <x:v>0</x:v>
      </x:c>
      <x:c r="AJ25" s="21" t="n">
        <x:v>0</x:v>
      </x:c>
      <x:c r="AK25" s="21" t="n">
        <x:v>0</x:v>
      </x:c>
      <x:c r="AL25" s="21" t="n">
        <x:v>0</x:v>
      </x:c>
      <x:c r="AM25" s="21" t="n">
        <x:v>1</x:v>
      </x:c>
      <x:c r="AN25" s="21" t="n">
        <x:v>1</x:v>
      </x:c>
      <x:c r="AO25" s="21" t="n">
        <x:v>1</x:v>
      </x:c>
      <x:c r="AP25" s="21" t="n">
        <x:v>0.97</x:v>
      </x:c>
      <x:c r="AQ25" s="21" t="n">
        <x:v>0.95</x:v>
      </x:c>
      <x:c r="AR25" s="21" t="n">
        <x:v>1</x:v>
      </x:c>
      <x:c r="AS25" s="21" t="n">
        <x:v>1</x:v>
      </x:c>
      <x:c r="AT25" s="21" t="n">
        <x:v>1</x:v>
      </x:c>
      <x:c r="AU25" s="21" t="n">
        <x:v>0</x:v>
      </x:c>
      <x:c r="AV25" s="22" t="n">
        <x:f>IF(C25="QB",N25*0.04+O25*4-P25*2+R25*0.1+S25*6,IF(OR(C25="RB",C25="WR",C25="TE"),U25*0.1+V25*6+R25*0.1+S25*6+X25*0.5+Y25*0.1+Z25*6,IF(C25="K",AC25*3+AD25*4+AE25*5+AF25,IF(C25="DST",AG25+AH25*2+AI25*6+AL25,0))))</x:f>
        <x:v>14.279621229050282</x:v>
      </x:c>
      <x:c r="AW25" s="22" t="n">
        <x:f>(AV25+AU25)*G25</x:f>
        <x:v>14.279621229050282</x:v>
      </x:c>
      <x:c r="AX25" s="22" t="n">
        <x:f>MAX(0,AW25*IF(C25="QB",0.68,IF(C25="RB",0.58,IF(C25="WR",0.52,IF(C25="TE",0.50,IF(C25="K",0.55,0.40))))))</x:f>
        <x:v>9.710142435754193</x:v>
      </x:c>
      <x:c r="AY25" s="22" t="n">
        <x:f>AW25*IF(C25="QB",1.32,IF(C25="RB",1.45,IF(C25="WR",1.55,IF(C25="TE",1.60,IF(C25="K",1.45,1.65)))))</x:f>
        <x:v>18.849100022346374</x:v>
      </x:c>
      <x:c r="AZ25" s="12" t="str">
        <x:v>High</x:v>
      </x:c>
      <x:c r="BA25" s="12" t="n">
        <x:v>4</x:v>
      </x:c>
      <x:c r="BB25" s="12" t="n">
        <x:f>COUNTIFS($C$2:$C$344,C25,$AW$2:$AW$344,"&gt;"&amp;AW25,$G$2:$G$344,"&gt;0")+COUNTIFS($C$2:C25,C25,$AW$2:AW25,AW25,$G$2:G25,"&gt;0")</x:f>
        <x:v>23</x:v>
      </x:c>
      <x:c r="BC25" s="12" t="n">
        <x:v>24</x:v>
      </x:c>
      <x:c r="BD25" s="12" t="str">
        <x:f>IF(BB25&lt;BC25,"↑",IF(BB25&gt;BC25,"↓","→"))</x:f>
        <x:v>↑</x:v>
      </x:c>
      <x:c r="BE25" s="23" t="str">
        <x:v>Fantasy Football Brief ROS baseline; official NFL schedule</x:v>
      </x:c>
      <x:c r="BF25" s="23" t="str">
        <x:v>Current role and availability baseline; all adjustment factors shown numerically</x:v>
      </x:c>
      <x:c r="BG25" s="23" t="str">
        <x:v>Material injury, depth-chart, or role change</x:v>
      </x:c>
      <x:c r="BH25" s="24" t="str">
        <x:v>2026-09-23 10:35 CT</x:v>
      </x:c>
    </x:row>
    <x:row r="26">
      <x:c r="A26" s="12" t="str">
        <x:v>Bryce Young</x:v>
      </x:c>
      <x:c r="B26" s="12" t="str">
        <x:v>CAR</x:v>
      </x:c>
      <x:c r="C26" s="12" t="str">
        <x:v>QB</x:v>
      </x:c>
      <x:c r="D26" s="12" t="str">
        <x:v>CLE</x:v>
      </x:c>
      <x:c r="E26" s="12" t="str">
        <x:v>Away</x:v>
      </x:c>
      <x:c r="F26" s="12" t="str">
        <x:v>2026-09-27</x:v>
      </x:c>
      <x:c r="G26" s="19" t="n">
        <x:v>1</x:v>
      </x:c>
      <x:c r="H26" s="20" t="str">
        <x:v>ACTIVE</x:v>
      </x:c>
      <x:c r="I26" s="20" t="n">
        <x:v>62</x:v>
      </x:c>
      <x:c r="J26" s="20" t="str">
        <x:v>Dropbacks</x:v>
      </x:c>
      <x:c r="K26" s="20" t="n">
        <x:v>31.144134078212293</x:v>
      </x:c>
      <x:c r="L26" s="21" t="n">
        <x:v>27.530726256983243</x:v>
      </x:c>
      <x:c r="M26" s="21" t="n">
        <x:v>18.067039106145252</x:v>
      </x:c>
      <x:c r="N26" s="21" t="n">
        <x:v>192.23329608938548</x:v>
      </x:c>
      <x:c r="O26" s="21" t="n">
        <x:v>1.2014581005586593</x:v>
      </x:c>
      <x:c r="P26" s="21" t="n">
        <x:v>0.6022346368715084</x:v>
      </x:c>
      <x:c r="Q26" s="21" t="n">
        <x:v>3.613407821229051</x:v>
      </x:c>
      <x:c r="R26" s="21" t="n">
        <x:v>20.024301675977654</x:v>
      </x:c>
      <x:c r="S26" s="21" t="n">
        <x:v>0.16019441340782126</x:v>
      </x:c>
      <x:c r="T26" s="21" t="n">
        <x:v>0</x:v>
      </x:c>
      <x:c r="U26" s="21" t="n">
        <x:v>0</x:v>
      </x:c>
      <x:c r="V26" s="21" t="n">
        <x:v>0</x:v>
      </x:c>
      <x:c r="W26" s="21" t="n">
        <x:v>0</x:v>
      </x:c>
      <x:c r="X26" s="21" t="n">
        <x:v>0</x:v>
      </x:c>
      <x:c r="Y26" s="21" t="n">
        <x:v>0</x:v>
      </x:c>
      <x:c r="Z26" s="21" t="n">
        <x:v>0</x:v>
      </x:c>
      <x:c r="AA26" s="21" t="n">
        <x:v>0</x:v>
      </x:c>
      <x:c r="AB26" s="21" t="n">
        <x:v>0</x:v>
      </x:c>
      <x:c r="AC26" s="21" t="n">
        <x:v>0</x:v>
      </x:c>
      <x:c r="AD26" s="21" t="n">
        <x:v>0</x:v>
      </x:c>
      <x:c r="AE26" s="21" t="n">
        <x:v>0</x:v>
      </x:c>
      <x:c r="AF26" s="21" t="n">
        <x:v>0</x:v>
      </x:c>
      <x:c r="AG26" s="21" t="n">
        <x:v>0</x:v>
      </x:c>
      <x:c r="AH26" s="21" t="n">
        <x:v>0</x:v>
      </x:c>
      <x:c r="AI26" s="21" t="n">
        <x:v>0</x:v>
      </x:c>
      <x:c r="AJ26" s="21" t="n">
        <x:v>0</x:v>
      </x:c>
      <x:c r="AK26" s="21" t="n">
        <x:v>0</x:v>
      </x:c>
      <x:c r="AL26" s="21" t="n">
        <x:v>0</x:v>
      </x:c>
      <x:c r="AM26" s="21" t="n">
        <x:v>1</x:v>
      </x:c>
      <x:c r="AN26" s="21" t="n">
        <x:v>1</x:v>
      </x:c>
      <x:c r="AO26" s="21" t="n">
        <x:v>1</x:v>
      </x:c>
      <x:c r="AP26" s="21" t="n">
        <x:v>0.98</x:v>
      </x:c>
      <x:c r="AQ26" s="21" t="n">
        <x:v>0.95</x:v>
      </x:c>
      <x:c r="AR26" s="21" t="n">
        <x:v>1</x:v>
      </x:c>
      <x:c r="AS26" s="21" t="n">
        <x:v>1</x:v>
      </x:c>
      <x:c r="AT26" s="21" t="n">
        <x:v>1</x:v>
      </x:c>
      <x:c r="AU26" s="21" t="n">
        <x:v>0</x:v>
      </x:c>
      <x:c r="AV26" s="22" t="n">
        <x:f>IF(C26="QB",N26*0.04+O26*4-P26*2+R26*0.1+S26*6,IF(OR(C26="RB",C26="WR",C26="TE"),U26*0.1+V26*6+R26*0.1+S26*6+X26*0.5+Y26*0.1+Z26*6,IF(C26="K",AC26*3+AD26*4+AE26*5+AF26,IF(C26="DST",AG26+AH26*2+AI26*6+AL26,0))))</x:f>
        <x:v>14.254291620111731</x:v>
      </x:c>
      <x:c r="AW26" s="22" t="n">
        <x:f>(AV26+AU26)*G26</x:f>
        <x:v>14.254291620111731</x:v>
      </x:c>
      <x:c r="AX26" s="22" t="n">
        <x:f>MAX(0,AW26*IF(C26="QB",0.68,IF(C26="RB",0.58,IF(C26="WR",0.52,IF(C26="TE",0.50,IF(C26="K",0.55,0.40))))))</x:f>
        <x:v>9.692918301675977</x:v>
      </x:c>
      <x:c r="AY26" s="22" t="n">
        <x:f>AW26*IF(C26="QB",1.32,IF(C26="RB",1.45,IF(C26="WR",1.55,IF(C26="TE",1.60,IF(C26="K",1.45,1.65)))))</x:f>
        <x:v>18.815664938547485</x:v>
      </x:c>
      <x:c r="AZ26" s="12" t="str">
        <x:v>High</x:v>
      </x:c>
      <x:c r="BA26" s="12" t="n">
        <x:v>5</x:v>
      </x:c>
      <x:c r="BB26" s="12" t="n">
        <x:f>COUNTIFS($C$2:$C$344,C26,$AW$2:$AW$344,"&gt;"&amp;AW26,$G$2:$G$344,"&gt;0")+COUNTIFS($C$2:C26,C26,$AW$2:AW26,AW26,$G$2:G26,"&gt;0")</x:f>
        <x:v>24</x:v>
      </x:c>
      <x:c r="BC26" s="12" t="n">
        <x:v>25</x:v>
      </x:c>
      <x:c r="BD26" s="12" t="str">
        <x:f>IF(BB26&lt;BC26,"↑",IF(BB26&gt;BC26,"↓","→"))</x:f>
        <x:v>↑</x:v>
      </x:c>
      <x:c r="BE26" s="23" t="str">
        <x:v>Fantasy Football Brief ROS baseline; official NFL schedule</x:v>
      </x:c>
      <x:c r="BF26" s="23" t="str">
        <x:v>Current role and availability baseline; all adjustment factors shown numerically</x:v>
      </x:c>
      <x:c r="BG26" s="23" t="str">
        <x:v>Material injury, depth-chart, or role change</x:v>
      </x:c>
      <x:c r="BH26" s="24" t="str">
        <x:v>2026-09-23 10:35 CT</x:v>
      </x:c>
    </x:row>
    <x:row r="27">
      <x:c r="A27" s="12" t="str">
        <x:v>Jacoby Brissett</x:v>
      </x:c>
      <x:c r="B27" s="12" t="str">
        <x:v>ARI</x:v>
      </x:c>
      <x:c r="C27" s="12" t="str">
        <x:v>QB</x:v>
      </x:c>
      <x:c r="D27" s="12" t="str">
        <x:v>SF</x:v>
      </x:c>
      <x:c r="E27" s="12" t="str">
        <x:v>Away</x:v>
      </x:c>
      <x:c r="F27" s="12" t="str">
        <x:v>2026-09-27</x:v>
      </x:c>
      <x:c r="G27" s="19" t="n">
        <x:v>1</x:v>
      </x:c>
      <x:c r="H27" s="20" t="str">
        <x:v>ACTIVE</x:v>
      </x:c>
      <x:c r="I27" s="20" t="n">
        <x:v>62</x:v>
      </x:c>
      <x:c r="J27" s="20" t="str">
        <x:v>Dropbacks</x:v>
      </x:c>
      <x:c r="K27" s="20" t="n">
        <x:v>28.919553072625703</x:v>
      </x:c>
      <x:c r="L27" s="21" t="n">
        <x:v>25.56424581005587</x:v>
      </x:c>
      <x:c r="M27" s="21" t="n">
        <x:v>16.776536312849164</x:v>
      </x:c>
      <x:c r="N27" s="21" t="n">
        <x:v>180.22793296089387</x:v>
      </x:c>
      <x:c r="O27" s="21" t="n">
        <x:v>1.1264245810055866</x:v>
      </x:c>
      <x:c r="P27" s="21" t="n">
        <x:v>0.5592178770949721</x:v>
      </x:c>
      <x:c r="Q27" s="21" t="n">
        <x:v>3.355307262569833</x:v>
      </x:c>
      <x:c r="R27" s="21" t="n">
        <x:v>18.773743016759777</x:v>
      </x:c>
      <x:c r="S27" s="21" t="n">
        <x:v>0.15018994413407824</x:v>
      </x:c>
      <x:c r="T27" s="21" t="n">
        <x:v>0</x:v>
      </x:c>
      <x:c r="U27" s="21" t="n">
        <x:v>0</x:v>
      </x:c>
      <x:c r="V27" s="21" t="n">
        <x:v>0</x:v>
      </x:c>
      <x:c r="W27" s="21" t="n">
        <x:v>0</x:v>
      </x:c>
      <x:c r="X27" s="21" t="n">
        <x:v>0</x:v>
      </x:c>
      <x:c r="Y27" s="21" t="n">
        <x:v>0</x:v>
      </x:c>
      <x:c r="Z27" s="21" t="n">
        <x:v>0</x:v>
      </x:c>
      <x:c r="AA27" s="21" t="n">
        <x:v>0</x:v>
      </x:c>
      <x:c r="AB27" s="21" t="n">
        <x:v>0</x:v>
      </x:c>
      <x:c r="AC27" s="21" t="n">
        <x:v>0</x:v>
      </x:c>
      <x:c r="AD27" s="21" t="n">
        <x:v>0</x:v>
      </x:c>
      <x:c r="AE27" s="21" t="n">
        <x:v>0</x:v>
      </x:c>
      <x:c r="AF27" s="21" t="n">
        <x:v>0</x:v>
      </x:c>
      <x:c r="AG27" s="21" t="n">
        <x:v>0</x:v>
      </x:c>
      <x:c r="AH27" s="21" t="n">
        <x:v>0</x:v>
      </x:c>
      <x:c r="AI27" s="21" t="n">
        <x:v>0</x:v>
      </x:c>
      <x:c r="AJ27" s="21" t="n">
        <x:v>0</x:v>
      </x:c>
      <x:c r="AK27" s="21" t="n">
        <x:v>0</x:v>
      </x:c>
      <x:c r="AL27" s="21" t="n">
        <x:v>0</x:v>
      </x:c>
      <x:c r="AM27" s="21" t="n">
        <x:v>1</x:v>
      </x:c>
      <x:c r="AN27" s="21" t="n">
        <x:v>1</x:v>
      </x:c>
      <x:c r="AO27" s="21" t="n">
        <x:v>1</x:v>
      </x:c>
      <x:c r="AP27" s="21" t="n">
        <x:v>1</x:v>
      </x:c>
      <x:c r="AQ27" s="21" t="n">
        <x:v>0.94</x:v>
      </x:c>
      <x:c r="AR27" s="21" t="n">
        <x:v>1</x:v>
      </x:c>
      <x:c r="AS27" s="21" t="n">
        <x:v>1</x:v>
      </x:c>
      <x:c r="AT27" s="21" t="n">
        <x:v>1</x:v>
      </x:c>
      <x:c r="AU27" s="21" t="n">
        <x:v>0</x:v>
      </x:c>
      <x:c r="AV27" s="22" t="n">
        <x:f>IF(C27="QB",N27*0.04+O27*4-P27*2+R27*0.1+S27*6,IF(OR(C27="RB",C27="WR",C27="TE"),U27*0.1+V27*6+R27*0.1+S27*6+X27*0.5+Y27*0.1+Z27*6,IF(C27="K",AC27*3+AD27*4+AE27*5+AF27,IF(C27="DST",AG27+AH27*2+AI27*6+AL27,0))))</x:f>
        <x:v>13.374893854748606</x:v>
      </x:c>
      <x:c r="AW27" s="22" t="n">
        <x:f>(AV27+AU27)*G27</x:f>
        <x:v>13.374893854748606</x:v>
      </x:c>
      <x:c r="AX27" s="22" t="n">
        <x:f>MAX(0,AW27*IF(C27="QB",0.68,IF(C27="RB",0.58,IF(C27="WR",0.52,IF(C27="TE",0.50,IF(C27="K",0.55,0.40))))))</x:f>
        <x:v>9.094927821229053</x:v>
      </x:c>
      <x:c r="AY27" s="22" t="n">
        <x:f>AW27*IF(C27="QB",1.32,IF(C27="RB",1.45,IF(C27="WR",1.55,IF(C27="TE",1.60,IF(C27="K",1.45,1.65)))))</x:f>
        <x:v>17.65485988826816</x:v>
      </x:c>
      <x:c r="AZ27" s="12" t="str">
        <x:v>High</x:v>
      </x:c>
      <x:c r="BA27" s="12" t="n">
        <x:v>5</x:v>
      </x:c>
      <x:c r="BB27" s="12" t="n">
        <x:f>COUNTIFS($C$2:$C$344,C27,$AW$2:$AW$344,"&gt;"&amp;AW27,$G$2:$G$344,"&gt;0")+COUNTIFS($C$2:C27,C27,$AW$2:AW27,AW27,$G$2:G27,"&gt;0")</x:f>
        <x:v>25</x:v>
      </x:c>
      <x:c r="BC27" s="12" t="n">
        <x:v>26</x:v>
      </x:c>
      <x:c r="BD27" s="12" t="str">
        <x:f>IF(BB27&lt;BC27,"↑",IF(BB27&gt;BC27,"↓","→"))</x:f>
        <x:v>↑</x:v>
      </x:c>
      <x:c r="BE27" s="23" t="str">
        <x:v>Fantasy Football Brief ROS baseline; official NFL schedule</x:v>
      </x:c>
      <x:c r="BF27" s="23" t="str">
        <x:v>Current role and availability baseline; all adjustment factors shown numerically</x:v>
      </x:c>
      <x:c r="BG27" s="23" t="str">
        <x:v>Material injury, depth-chart, or role change</x:v>
      </x:c>
      <x:c r="BH27" s="24" t="str">
        <x:v>2026-09-23 10:35 CT</x:v>
      </x:c>
    </x:row>
    <x:row r="28">
      <x:c r="A28" s="12" t="str">
        <x:v>Aaron Rodgers</x:v>
      </x:c>
      <x:c r="B28" s="12" t="str">
        <x:v>PIT</x:v>
      </x:c>
      <x:c r="C28" s="12" t="str">
        <x:v>QB</x:v>
      </x:c>
      <x:c r="D28" s="12" t="str">
        <x:v>CIN</x:v>
      </x:c>
      <x:c r="E28" s="12" t="str">
        <x:v>Home</x:v>
      </x:c>
      <x:c r="F28" s="12" t="str">
        <x:v>2026-09-27</x:v>
      </x:c>
      <x:c r="G28" s="19" t="n">
        <x:v>1</x:v>
      </x:c>
      <x:c r="H28" s="20" t="str">
        <x:v>ACTIVE</x:v>
      </x:c>
      <x:c r="I28" s="20" t="n">
        <x:v>62</x:v>
      </x:c>
      <x:c r="J28" s="20" t="str">
        <x:v>Dropbacks</x:v>
      </x:c>
      <x:c r="K28" s="20" t="n">
        <x:v>27.09944134078213</x:v>
      </x:c>
      <x:c r="L28" s="21" t="n">
        <x:v>23.955307262569836</x:v>
      </x:c>
      <x:c r="M28" s="21" t="n">
        <x:v>15.720670391061455</x:v>
      </x:c>
      <x:c r="N28" s="21" t="n">
        <x:v>177.86815642458103</x:v>
      </x:c>
      <x:c r="O28" s="21" t="n">
        <x:v>1.1116759776536316</x:v>
      </x:c>
      <x:c r="P28" s="21" t="n">
        <x:v>0.5240223463687151</x:v>
      </x:c>
      <x:c r="Q28" s="21" t="n">
        <x:v>3.144134078212291</x:v>
      </x:c>
      <x:c r="R28" s="21" t="n">
        <x:v>18.527932960893857</x:v>
      </x:c>
      <x:c r="S28" s="21" t="n">
        <x:v>0.14822346368715086</x:v>
      </x:c>
      <x:c r="T28" s="21" t="n">
        <x:v>0</x:v>
      </x:c>
      <x:c r="U28" s="21" t="n">
        <x:v>0</x:v>
      </x:c>
      <x:c r="V28" s="21" t="n">
        <x:v>0</x:v>
      </x:c>
      <x:c r="W28" s="21" t="n">
        <x:v>0</x:v>
      </x:c>
      <x:c r="X28" s="21" t="n">
        <x:v>0</x:v>
      </x:c>
      <x:c r="Y28" s="21" t="n">
        <x:v>0</x:v>
      </x:c>
      <x:c r="Z28" s="21" t="n">
        <x:v>0</x:v>
      </x:c>
      <x:c r="AA28" s="21" t="n">
        <x:v>0</x:v>
      </x:c>
      <x:c r="AB28" s="21" t="n">
        <x:v>0</x:v>
      </x:c>
      <x:c r="AC28" s="21" t="n">
        <x:v>0</x:v>
      </x:c>
      <x:c r="AD28" s="21" t="n">
        <x:v>0</x:v>
      </x:c>
      <x:c r="AE28" s="21" t="n">
        <x:v>0</x:v>
      </x:c>
      <x:c r="AF28" s="21" t="n">
        <x:v>0</x:v>
      </x:c>
      <x:c r="AG28" s="21" t="n">
        <x:v>0</x:v>
      </x:c>
      <x:c r="AH28" s="21" t="n">
        <x:v>0</x:v>
      </x:c>
      <x:c r="AI28" s="21" t="n">
        <x:v>0</x:v>
      </x:c>
      <x:c r="AJ28" s="21" t="n">
        <x:v>0</x:v>
      </x:c>
      <x:c r="AK28" s="21" t="n">
        <x:v>0</x:v>
      </x:c>
      <x:c r="AL28" s="21" t="n">
        <x:v>0</x:v>
      </x:c>
      <x:c r="AM28" s="21" t="n">
        <x:v>1</x:v>
      </x:c>
      <x:c r="AN28" s="21" t="n">
        <x:v>1</x:v>
      </x:c>
      <x:c r="AO28" s="21" t="n">
        <x:v>1</x:v>
      </x:c>
      <x:c r="AP28" s="21" t="n">
        <x:v>0.99</x:v>
      </x:c>
      <x:c r="AQ28" s="21" t="n">
        <x:v>1</x:v>
      </x:c>
      <x:c r="AR28" s="21" t="n">
        <x:v>1</x:v>
      </x:c>
      <x:c r="AS28" s="21" t="n">
        <x:v>1</x:v>
      </x:c>
      <x:c r="AT28" s="21" t="n">
        <x:v>1</x:v>
      </x:c>
      <x:c r="AU28" s="21" t="n">
        <x:v>0</x:v>
      </x:c>
      <x:c r="AV28" s="22" t="n">
        <x:f>IF(C28="QB",N28*0.04+O28*4-P28*2+R28*0.1+S28*6,IF(OR(C28="RB",C28="WR",C28="TE"),U28*0.1+V28*6+R28*0.1+S28*6+X28*0.5+Y28*0.1+Z28*6,IF(C28="K",AC28*3+AD28*4+AE28*5+AF28,IF(C28="DST",AG28+AH28*2+AI28*6+AL28,0))))</x:f>
        <x:v>13.255519553072627</x:v>
      </x:c>
      <x:c r="AW28" s="22" t="n">
        <x:f>(AV28+AU28)*G28</x:f>
        <x:v>13.255519553072627</x:v>
      </x:c>
      <x:c r="AX28" s="22" t="n">
        <x:f>MAX(0,AW28*IF(C28="QB",0.68,IF(C28="RB",0.58,IF(C28="WR",0.52,IF(C28="TE",0.50,IF(C28="K",0.55,0.40))))))</x:f>
        <x:v>9.013753296089387</x:v>
      </x:c>
      <x:c r="AY28" s="22" t="n">
        <x:f>AW28*IF(C28="QB",1.32,IF(C28="RB",1.45,IF(C28="WR",1.55,IF(C28="TE",1.60,IF(C28="K",1.45,1.65)))))</x:f>
        <x:v>17.497285810055867</x:v>
      </x:c>
      <x:c r="AZ28" s="12" t="str">
        <x:v>High</x:v>
      </x:c>
      <x:c r="BA28" s="12" t="n">
        <x:v>5</x:v>
      </x:c>
      <x:c r="BB28" s="12" t="n">
        <x:f>COUNTIFS($C$2:$C$344,C28,$AW$2:$AW$344,"&gt;"&amp;AW28,$G$2:$G$344,"&gt;0")+COUNTIFS($C$2:C28,C28,$AW$2:AW28,AW28,$G$2:G28,"&gt;0")</x:f>
        <x:v>26</x:v>
      </x:c>
      <x:c r="BC28" s="12" t="n">
        <x:v>27</x:v>
      </x:c>
      <x:c r="BD28" s="12" t="str">
        <x:f>IF(BB28&lt;BC28,"↑",IF(BB28&gt;BC28,"↓","→"))</x:f>
        <x:v>↑</x:v>
      </x:c>
      <x:c r="BE28" s="23" t="str">
        <x:v>Fantasy Football Brief ROS baseline; official NFL schedule</x:v>
      </x:c>
      <x:c r="BF28" s="23" t="str">
        <x:v>Current role and availability baseline; all adjustment factors shown numerically</x:v>
      </x:c>
      <x:c r="BG28" s="23" t="str">
        <x:v>Material injury, depth-chart, or role change</x:v>
      </x:c>
      <x:c r="BH28" s="24" t="str">
        <x:v>2026-09-23 10:35 CT</x:v>
      </x:c>
    </x:row>
    <x:row r="29">
      <x:c r="A29" s="12" t="str">
        <x:v>Deshaun Watson</x:v>
      </x:c>
      <x:c r="B29" s="12" t="str">
        <x:v>CLE</x:v>
      </x:c>
      <x:c r="C29" s="12" t="str">
        <x:v>QB</x:v>
      </x:c>
      <x:c r="D29" s="12" t="str">
        <x:v>CAR</x:v>
      </x:c>
      <x:c r="E29" s="12" t="str">
        <x:v>Home</x:v>
      </x:c>
      <x:c r="F29" s="12" t="str">
        <x:v>2026-09-27</x:v>
      </x:c>
      <x:c r="G29" s="19" t="n">
        <x:v>1</x:v>
      </x:c>
      <x:c r="H29" s="20" t="str">
        <x:v>ACTIVE</x:v>
      </x:c>
      <x:c r="I29" s="20" t="n">
        <x:v>62</x:v>
      </x:c>
      <x:c r="J29" s="20" t="str">
        <x:v>Dropbacks</x:v>
      </x:c>
      <x:c r="K29" s="20" t="n">
        <x:v>25.683798882681565</x:v>
      </x:c>
      <x:c r="L29" s="21" t="n">
        <x:v>22.70391061452514</x:v>
      </x:c>
      <x:c r="M29" s="21" t="n">
        <x:v>14.899441340782122</x:v>
      </x:c>
      <x:c r="N29" s="21" t="n">
        <x:v>171.7777877094972</x:v>
      </x:c>
      <x:c r="O29" s="21" t="n">
        <x:v>1.0736111731843574</x:v>
      </x:c>
      <x:c r="P29" s="21" t="n">
        <x:v>0.4966480446927374</x:v>
      </x:c>
      <x:c r="Q29" s="21" t="n">
        <x:v>2.9798882681564245</x:v>
      </x:c>
      <x:c r="R29" s="21" t="n">
        <x:v>17.893519553072625</x:v>
      </x:c>
      <x:c r="S29" s="21" t="n">
        <x:v>0.14314815642458098</x:v>
      </x:c>
      <x:c r="T29" s="21" t="n">
        <x:v>0</x:v>
      </x:c>
      <x:c r="U29" s="21" t="n">
        <x:v>0</x:v>
      </x:c>
      <x:c r="V29" s="21" t="n">
        <x:v>0</x:v>
      </x:c>
      <x:c r="W29" s="21" t="n">
        <x:v>0</x:v>
      </x:c>
      <x:c r="X29" s="21" t="n">
        <x:v>0</x:v>
      </x:c>
      <x:c r="Y29" s="21" t="n">
        <x:v>0</x:v>
      </x:c>
      <x:c r="Z29" s="21" t="n">
        <x:v>0</x:v>
      </x:c>
      <x:c r="AA29" s="21" t="n">
        <x:v>0</x:v>
      </x:c>
      <x:c r="AB29" s="21" t="n">
        <x:v>0</x:v>
      </x:c>
      <x:c r="AC29" s="21" t="n">
        <x:v>0</x:v>
      </x:c>
      <x:c r="AD29" s="21" t="n">
        <x:v>0</x:v>
      </x:c>
      <x:c r="AE29" s="21" t="n">
        <x:v>0</x:v>
      </x:c>
      <x:c r="AF29" s="21" t="n">
        <x:v>0</x:v>
      </x:c>
      <x:c r="AG29" s="21" t="n">
        <x:v>0</x:v>
      </x:c>
      <x:c r="AH29" s="21" t="n">
        <x:v>0</x:v>
      </x:c>
      <x:c r="AI29" s="21" t="n">
        <x:v>0</x:v>
      </x:c>
      <x:c r="AJ29" s="21" t="n">
        <x:v>0</x:v>
      </x:c>
      <x:c r="AK29" s="21" t="n">
        <x:v>0</x:v>
      </x:c>
      <x:c r="AL29" s="21" t="n">
        <x:v>0</x:v>
      </x:c>
      <x:c r="AM29" s="21" t="n">
        <x:v>1</x:v>
      </x:c>
      <x:c r="AN29" s="21" t="n">
        <x:v>1</x:v>
      </x:c>
      <x:c r="AO29" s="21" t="n">
        <x:v>1</x:v>
      </x:c>
      <x:c r="AP29" s="21" t="n">
        <x:v>0.97</x:v>
      </x:c>
      <x:c r="AQ29" s="21" t="n">
        <x:v>1.04</x:v>
      </x:c>
      <x:c r="AR29" s="21" t="n">
        <x:v>1</x:v>
      </x:c>
      <x:c r="AS29" s="21" t="n">
        <x:v>1</x:v>
      </x:c>
      <x:c r="AT29" s="21" t="n">
        <x:v>1</x:v>
      </x:c>
      <x:c r="AU29" s="21" t="n">
        <x:v>0</x:v>
      </x:c>
      <x:c r="AV29" s="22" t="n">
        <x:f>IF(C29="QB",N29*0.04+O29*4-P29*2+R29*0.1+S29*6,IF(OR(C29="RB",C29="WR",C29="TE"),U29*0.1+V29*6+R29*0.1+S29*6+X29*0.5+Y29*0.1+Z29*6,IF(C29="K",AC29*3+AD29*4+AE29*5+AF29,IF(C29="DST",AG29+AH29*2+AI29*6+AL29,0))))</x:f>
        <x:v>12.820501005586593</x:v>
      </x:c>
      <x:c r="AW29" s="22" t="n">
        <x:f>(AV29+AU29)*G29</x:f>
        <x:v>12.820501005586593</x:v>
      </x:c>
      <x:c r="AX29" s="22" t="n">
        <x:f>MAX(0,AW29*IF(C29="QB",0.68,IF(C29="RB",0.58,IF(C29="WR",0.52,IF(C29="TE",0.50,IF(C29="K",0.55,0.40))))))</x:f>
        <x:v>8.717940683798883</x:v>
      </x:c>
      <x:c r="AY29" s="22" t="n">
        <x:f>AW29*IF(C29="QB",1.32,IF(C29="RB",1.45,IF(C29="WR",1.55,IF(C29="TE",1.60,IF(C29="K",1.45,1.65)))))</x:f>
        <x:v>16.923061327374302</x:v>
      </x:c>
      <x:c r="AZ29" s="12" t="str">
        <x:v>High</x:v>
      </x:c>
      <x:c r="BA29" s="12" t="n">
        <x:v>5</x:v>
      </x:c>
      <x:c r="BB29" s="12" t="n">
        <x:f>COUNTIFS($C$2:$C$344,C29,$AW$2:$AW$344,"&gt;"&amp;AW29,$G$2:$G$344,"&gt;0")+COUNTIFS($C$2:C29,C29,$AW$2:AW29,AW29,$G$2:G29,"&gt;0")</x:f>
        <x:v>27</x:v>
      </x:c>
      <x:c r="BC29" s="12" t="n">
        <x:v>28</x:v>
      </x:c>
      <x:c r="BD29" s="12" t="str">
        <x:f>IF(BB29&lt;BC29,"↑",IF(BB29&gt;BC29,"↓","→"))</x:f>
        <x:v>↑</x:v>
      </x:c>
      <x:c r="BE29" s="23" t="str">
        <x:v>Fantasy Football Brief ROS baseline; official NFL schedule</x:v>
      </x:c>
      <x:c r="BF29" s="23" t="str">
        <x:v>Current role and availability baseline; all adjustment factors shown numerically</x:v>
      </x:c>
      <x:c r="BG29" s="23" t="str">
        <x:v>Material injury, depth-chart, or role change</x:v>
      </x:c>
      <x:c r="BH29" s="24" t="str">
        <x:v>2026-09-23 10:35 CT</x:v>
      </x:c>
    </x:row>
    <x:row r="30">
      <x:c r="A30" s="12" t="str">
        <x:v>Kirk Cousins</x:v>
      </x:c>
      <x:c r="B30" s="12" t="str">
        <x:v>LV</x:v>
      </x:c>
      <x:c r="C30" s="12" t="str">
        <x:v>QB</x:v>
      </x:c>
      <x:c r="D30" s="12" t="str">
        <x:v>NO</x:v>
      </x:c>
      <x:c r="E30" s="12" t="str">
        <x:v>Away</x:v>
      </x:c>
      <x:c r="F30" s="12" t="str">
        <x:v>2026-09-27</x:v>
      </x:c>
      <x:c r="G30" s="19" t="n">
        <x:v>1</x:v>
      </x:c>
      <x:c r="H30" s="20" t="str">
        <x:v>ACTIVE</x:v>
      </x:c>
      <x:c r="I30" s="20" t="n">
        <x:v>62</x:v>
      </x:c>
      <x:c r="J30" s="20" t="str">
        <x:v>Dropbacks</x:v>
      </x:c>
      <x:c r="K30" s="20" t="n">
        <x:v>25.481564245810056</x:v>
      </x:c>
      <x:c r="L30" s="21" t="n">
        <x:v>22.52513966480447</x:v>
      </x:c>
      <x:c r="M30" s="21" t="n">
        <x:v>14.782122905027933</x:v>
      </x:c>
      <x:c r="N30" s="21" t="n">
        <x:v>168.87097206703913</x:v>
      </x:c>
      <x:c r="O30" s="21" t="n">
        <x:v>1.0554435754189946</x:v>
      </x:c>
      <x:c r="P30" s="21" t="n">
        <x:v>0.49273743016759775</x:v>
      </x:c>
      <x:c r="Q30" s="21" t="n">
        <x:v>2.956424581005587</x:v>
      </x:c>
      <x:c r="R30" s="21" t="n">
        <x:v>17.590726256983242</x:v>
      </x:c>
      <x:c r="S30" s="21" t="n">
        <x:v>0.14072581005586596</x:v>
      </x:c>
      <x:c r="T30" s="21" t="n">
        <x:v>0</x:v>
      </x:c>
      <x:c r="U30" s="21" t="n">
        <x:v>0</x:v>
      </x:c>
      <x:c r="V30" s="21" t="n">
        <x:v>0</x:v>
      </x:c>
      <x:c r="W30" s="21" t="n">
        <x:v>0</x:v>
      </x:c>
      <x:c r="X30" s="21" t="n">
        <x:v>0</x:v>
      </x:c>
      <x:c r="Y30" s="21" t="n">
        <x:v>0</x:v>
      </x:c>
      <x:c r="Z30" s="21" t="n">
        <x:v>0</x:v>
      </x:c>
      <x:c r="AA30" s="21" t="n">
        <x:v>0</x:v>
      </x:c>
      <x:c r="AB30" s="21" t="n">
        <x:v>0</x:v>
      </x:c>
      <x:c r="AC30" s="21" t="n">
        <x:v>0</x:v>
      </x:c>
      <x:c r="AD30" s="21" t="n">
        <x:v>0</x:v>
      </x:c>
      <x:c r="AE30" s="21" t="n">
        <x:v>0</x:v>
      </x:c>
      <x:c r="AF30" s="21" t="n">
        <x:v>0</x:v>
      </x:c>
      <x:c r="AG30" s="21" t="n">
        <x:v>0</x:v>
      </x:c>
      <x:c r="AH30" s="21" t="n">
        <x:v>0</x:v>
      </x:c>
      <x:c r="AI30" s="21" t="n">
        <x:v>0</x:v>
      </x:c>
      <x:c r="AJ30" s="21" t="n">
        <x:v>0</x:v>
      </x:c>
      <x:c r="AK30" s="21" t="n">
        <x:v>0</x:v>
      </x:c>
      <x:c r="AL30" s="21" t="n">
        <x:v>0</x:v>
      </x:c>
      <x:c r="AM30" s="21" t="n">
        <x:v>1</x:v>
      </x:c>
      <x:c r="AN30" s="21" t="n">
        <x:v>1</x:v>
      </x:c>
      <x:c r="AO30" s="21" t="n">
        <x:v>1</x:v>
      </x:c>
      <x:c r="AP30" s="21" t="n">
        <x:v>0.98</x:v>
      </x:c>
      <x:c r="AQ30" s="21" t="n">
        <x:v>1.02</x:v>
      </x:c>
      <x:c r="AR30" s="21" t="n">
        <x:v>1</x:v>
      </x:c>
      <x:c r="AS30" s="21" t="n">
        <x:v>1</x:v>
      </x:c>
      <x:c r="AT30" s="21" t="n">
        <x:v>1</x:v>
      </x:c>
      <x:c r="AU30" s="21" t="n">
        <x:v>0</x:v>
      </x:c>
      <x:c r="AV30" s="22" t="n">
        <x:f>IF(C30="QB",N30*0.04+O30*4-P30*2+R30*0.1+S30*6,IF(OR(C30="RB",C30="WR",C30="TE"),U30*0.1+V30*6+R30*0.1+S30*6+X30*0.5+Y30*0.1+Z30*6,IF(C30="K",AC30*3+AD30*4+AE30*5+AF30,IF(C30="DST",AG30+AH30*2+AI30*6+AL30,0))))</x:f>
        <x:v>12.594565810055869</x:v>
      </x:c>
      <x:c r="AW30" s="22" t="n">
        <x:f>(AV30+AU30)*G30</x:f>
        <x:v>12.594565810055869</x:v>
      </x:c>
      <x:c r="AX30" s="22" t="n">
        <x:f>MAX(0,AW30*IF(C30="QB",0.68,IF(C30="RB",0.58,IF(C30="WR",0.52,IF(C30="TE",0.50,IF(C30="K",0.55,0.40))))))</x:f>
        <x:v>8.56430475083799</x:v>
      </x:c>
      <x:c r="AY30" s="22" t="n">
        <x:f>AW30*IF(C30="QB",1.32,IF(C30="RB",1.45,IF(C30="WR",1.55,IF(C30="TE",1.60,IF(C30="K",1.45,1.65)))))</x:f>
        <x:v>16.624826869273747</x:v>
      </x:c>
      <x:c r="AZ30" s="12" t="str">
        <x:v>High</x:v>
      </x:c>
      <x:c r="BA30" s="12" t="n">
        <x:v>5</x:v>
      </x:c>
      <x:c r="BB30" s="12" t="n">
        <x:f>COUNTIFS($C$2:$C$344,C30,$AW$2:$AW$344,"&gt;"&amp;AW30,$G$2:$G$344,"&gt;0")+COUNTIFS($C$2:C30,C30,$AW$2:AW30,AW30,$G$2:G30,"&gt;0")</x:f>
        <x:v>28</x:v>
      </x:c>
      <x:c r="BC30" s="12" t="n">
        <x:v>29</x:v>
      </x:c>
      <x:c r="BD30" s="12" t="str">
        <x:f>IF(BB30&lt;BC30,"↑",IF(BB30&gt;BC30,"↓","→"))</x:f>
        <x:v>↑</x:v>
      </x:c>
      <x:c r="BE30" s="23" t="str">
        <x:v>Fantasy Football Brief ROS baseline; official NFL schedule</x:v>
      </x:c>
      <x:c r="BF30" s="23" t="str">
        <x:v>Current role and availability baseline; all adjustment factors shown numerically</x:v>
      </x:c>
      <x:c r="BG30" s="23" t="str">
        <x:v>Material injury, depth-chart, or role change</x:v>
      </x:c>
      <x:c r="BH30" s="24" t="str">
        <x:v>2026-09-23 10:35 CT</x:v>
      </x:c>
    </x:row>
    <x:row r="31">
      <x:c r="A31" s="12" t="str">
        <x:v>Daniel Jones</x:v>
      </x:c>
      <x:c r="B31" s="12" t="str">
        <x:v>IND</x:v>
      </x:c>
      <x:c r="C31" s="12" t="str">
        <x:v>QB</x:v>
      </x:c>
      <x:c r="D31" s="12" t="str">
        <x:v>HOU</x:v>
      </x:c>
      <x:c r="E31" s="12" t="str">
        <x:v>Home</x:v>
      </x:c>
      <x:c r="F31" s="12" t="str">
        <x:v>2026-09-27</x:v>
      </x:c>
      <x:c r="G31" s="19" t="n">
        <x:v>1</x:v>
      </x:c>
      <x:c r="H31" s="20" t="str">
        <x:v>ACTIVE</x:v>
      </x:c>
      <x:c r="I31" s="20" t="n">
        <x:v>62</x:v>
      </x:c>
      <x:c r="J31" s="20" t="str">
        <x:v>Dropbacks</x:v>
      </x:c>
      <x:c r="K31" s="20" t="n">
        <x:v>23.863687150837993</x:v>
      </x:c>
      <x:c r="L31" s="21" t="n">
        <x:v>21.09497206703911</x:v>
      </x:c>
      <x:c r="M31" s="21" t="n">
        <x:v>13.843575418994416</x:v>
      </x:c>
      <x:c r="N31" s="21" t="n">
        <x:v>150.30167597765364</x:v>
      </x:c>
      <x:c r="O31" s="21" t="n">
        <x:v>0.9393854748603353</x:v>
      </x:c>
      <x:c r="P31" s="21" t="n">
        <x:v>0.46145251396648046</x:v>
      </x:c>
      <x:c r="Q31" s="21" t="n">
        <x:v>2.768715083798883</x:v>
      </x:c>
      <x:c r="R31" s="21" t="n">
        <x:v>15.656424581005586</x:v>
      </x:c>
      <x:c r="S31" s="21" t="n">
        <x:v>0.12525139664804472</x:v>
      </x:c>
      <x:c r="T31" s="21" t="n">
        <x:v>0</x:v>
      </x:c>
      <x:c r="U31" s="21" t="n">
        <x:v>0</x:v>
      </x:c>
      <x:c r="V31" s="21" t="n">
        <x:v>0</x:v>
      </x:c>
      <x:c r="W31" s="21" t="n">
        <x:v>0</x:v>
      </x:c>
      <x:c r="X31" s="21" t="n">
        <x:v>0</x:v>
      </x:c>
      <x:c r="Y31" s="21" t="n">
        <x:v>0</x:v>
      </x:c>
      <x:c r="Z31" s="21" t="n">
        <x:v>0</x:v>
      </x:c>
      <x:c r="AA31" s="21" t="n">
        <x:v>0</x:v>
      </x:c>
      <x:c r="AB31" s="21" t="n">
        <x:v>0</x:v>
      </x:c>
      <x:c r="AC31" s="21" t="n">
        <x:v>0</x:v>
      </x:c>
      <x:c r="AD31" s="21" t="n">
        <x:v>0</x:v>
      </x:c>
      <x:c r="AE31" s="21" t="n">
        <x:v>0</x:v>
      </x:c>
      <x:c r="AF31" s="21" t="n">
        <x:v>0</x:v>
      </x:c>
      <x:c r="AG31" s="21" t="n">
        <x:v>0</x:v>
      </x:c>
      <x:c r="AH31" s="21" t="n">
        <x:v>0</x:v>
      </x:c>
      <x:c r="AI31" s="21" t="n">
        <x:v>0</x:v>
      </x:c>
      <x:c r="AJ31" s="21" t="n">
        <x:v>0</x:v>
      </x:c>
      <x:c r="AK31" s="21" t="n">
        <x:v>0</x:v>
      </x:c>
      <x:c r="AL31" s="21" t="n">
        <x:v>0</x:v>
      </x:c>
      <x:c r="AM31" s="21" t="n">
        <x:v>1</x:v>
      </x:c>
      <x:c r="AN31" s="21" t="n">
        <x:v>1</x:v>
      </x:c>
      <x:c r="AO31" s="21" t="n">
        <x:v>1</x:v>
      </x:c>
      <x:c r="AP31" s="21" t="n">
        <x:v>1</x:v>
      </x:c>
      <x:c r="AQ31" s="21" t="n">
        <x:v>0.95</x:v>
      </x:c>
      <x:c r="AR31" s="21" t="n">
        <x:v>1</x:v>
      </x:c>
      <x:c r="AS31" s="21" t="n">
        <x:v>1</x:v>
      </x:c>
      <x:c r="AT31" s="21" t="n">
        <x:v>1</x:v>
      </x:c>
      <x:c r="AU31" s="21" t="n">
        <x:v>0</x:v>
      </x:c>
      <x:c r="AV31" s="22" t="n">
        <x:f>IF(C31="QB",N31*0.04+O31*4-P31*2+R31*0.1+S31*6,IF(OR(C31="RB",C31="WR",C31="TE"),U31*0.1+V31*6+R31*0.1+S31*6+X31*0.5+Y31*0.1+Z31*6,IF(C31="K",AC31*3+AD31*4+AE31*5+AF31,IF(C31="DST",AG31+AH31*2+AI31*6+AL31,0))))</x:f>
        <x:v>11.163854748603352</x:v>
      </x:c>
      <x:c r="AW31" s="22" t="n">
        <x:f>(AV31+AU31)*G31</x:f>
        <x:v>11.163854748603352</x:v>
      </x:c>
      <x:c r="AX31" s="22" t="n">
        <x:f>MAX(0,AW31*IF(C31="QB",0.68,IF(C31="RB",0.58,IF(C31="WR",0.52,IF(C31="TE",0.50,IF(C31="K",0.55,0.40))))))</x:f>
        <x:v>7.5914212290502805</x:v>
      </x:c>
      <x:c r="AY31" s="22" t="n">
        <x:f>AW31*IF(C31="QB",1.32,IF(C31="RB",1.45,IF(C31="WR",1.55,IF(C31="TE",1.60,IF(C31="K",1.45,1.65)))))</x:f>
        <x:v>14.736288268156425</x:v>
      </x:c>
      <x:c r="AZ31" s="12" t="str">
        <x:v>High</x:v>
      </x:c>
      <x:c r="BA31" s="12" t="n">
        <x:v>5</x:v>
      </x:c>
      <x:c r="BB31" s="12" t="n">
        <x:f>COUNTIFS($C$2:$C$344,C31,$AW$2:$AW$344,"&gt;"&amp;AW31,$G$2:$G$344,"&gt;0")+COUNTIFS($C$2:C31,C31,$AW$2:AW31,AW31,$G$2:G31,"&gt;0")</x:f>
        <x:v>30</x:v>
      </x:c>
      <x:c r="BC31" s="12" t="n">
        <x:v>30</x:v>
      </x:c>
      <x:c r="BD31" s="12" t="str">
        <x:f>IF(BB31&lt;BC31,"↑",IF(BB31&gt;BC31,"↓","→"))</x:f>
        <x:v>→</x:v>
      </x:c>
      <x:c r="BE31" s="23" t="str">
        <x:v>Fantasy Football Brief ROS baseline; official NFL schedule</x:v>
      </x:c>
      <x:c r="BF31" s="23" t="str">
        <x:v>Current role and availability baseline; all adjustment factors shown numerically</x:v>
      </x:c>
      <x:c r="BG31" s="23" t="str">
        <x:v>Material injury, depth-chart, or role change</x:v>
      </x:c>
      <x:c r="BH31" s="24" t="str">
        <x:v>2026-09-23 10:35 CT</x:v>
      </x:c>
    </x:row>
    <x:row r="32">
      <x:c r="A32" s="12" t="str">
        <x:v>Sam Darnold</x:v>
      </x:c>
      <x:c r="B32" s="12" t="str">
        <x:v>SEA</x:v>
      </x:c>
      <x:c r="C32" s="12" t="str">
        <x:v>QB</x:v>
      </x:c>
      <x:c r="D32" s="12" t="str">
        <x:v>WAS</x:v>
      </x:c>
      <x:c r="E32" s="12" t="str">
        <x:v>Away</x:v>
      </x:c>
      <x:c r="F32" s="12" t="str">
        <x:v>2026-09-27</x:v>
      </x:c>
      <x:c r="G32" s="19" t="n">
        <x:v>0.8</x:v>
      </x:c>
      <x:c r="H32" s="20" t="str">
        <x:v>QUESTIONABLE</x:v>
      </x:c>
      <x:c r="I32" s="20" t="n">
        <x:v>52.65866666666667</x:v>
      </x:c>
      <x:c r="J32" s="20" t="str">
        <x:v>Dropbacks</x:v>
      </x:c>
      <x:c r="K32" s="20" t="n">
        <x:v>27.350212290502792</x:v>
      </x:c>
      <x:c r="L32" s="21" t="n">
        <x:v>24.176983240223464</x:v>
      </x:c>
      <x:c r="M32" s="21" t="n">
        <x:v>15.866145251396649</x:v>
      </x:c>
      <x:c r="N32" s="21" t="n">
        <x:v>186.7671955307263</x:v>
      </x:c>
      <x:c r="O32" s="21" t="n">
        <x:v>1.1672949720670391</x:v>
      </x:c>
      <x:c r="P32" s="21" t="n">
        <x:v>0.5396648044692738</x:v>
      </x:c>
      <x:c r="Q32" s="21" t="n">
        <x:v>3.1732290502793297</x:v>
      </x:c>
      <x:c r="R32" s="21" t="n">
        <x:v>19.454916201117317</x:v>
      </x:c>
      <x:c r="S32" s="21" t="n">
        <x:v>0.1556393296089386</x:v>
      </x:c>
      <x:c r="T32" s="21" t="n">
        <x:v>0</x:v>
      </x:c>
      <x:c r="U32" s="21" t="n">
        <x:v>0</x:v>
      </x:c>
      <x:c r="V32" s="21" t="n">
        <x:v>0</x:v>
      </x:c>
      <x:c r="W32" s="21" t="n">
        <x:v>0</x:v>
      </x:c>
      <x:c r="X32" s="21" t="n">
        <x:v>0</x:v>
      </x:c>
      <x:c r="Y32" s="21" t="n">
        <x:v>0</x:v>
      </x:c>
      <x:c r="Z32" s="21" t="n">
        <x:v>0</x:v>
      </x:c>
      <x:c r="AA32" s="21" t="n">
        <x:v>0</x:v>
      </x:c>
      <x:c r="AB32" s="21" t="n">
        <x:v>0</x:v>
      </x:c>
      <x:c r="AC32" s="21" t="n">
        <x:v>0</x:v>
      </x:c>
      <x:c r="AD32" s="21" t="n">
        <x:v>0</x:v>
      </x:c>
      <x:c r="AE32" s="21" t="n">
        <x:v>0</x:v>
      </x:c>
      <x:c r="AF32" s="21" t="n">
        <x:v>0</x:v>
      </x:c>
      <x:c r="AG32" s="21" t="n">
        <x:v>0</x:v>
      </x:c>
      <x:c r="AH32" s="21" t="n">
        <x:v>0</x:v>
      </x:c>
      <x:c r="AI32" s="21" t="n">
        <x:v>0</x:v>
      </x:c>
      <x:c r="AJ32" s="21" t="n">
        <x:v>0</x:v>
      </x:c>
      <x:c r="AK32" s="21" t="n">
        <x:v>0</x:v>
      </x:c>
      <x:c r="AL32" s="21" t="n">
        <x:v>0</x:v>
      </x:c>
      <x:c r="AM32" s="21" t="n">
        <x:v>0.8</x:v>
      </x:c>
      <x:c r="AN32" s="21" t="n">
        <x:v>0.98</x:v>
      </x:c>
      <x:c r="AO32" s="21" t="n">
        <x:v>1</x:v>
      </x:c>
      <x:c r="AP32" s="21" t="n">
        <x:v>1</x:v>
      </x:c>
      <x:c r="AQ32" s="21" t="n">
        <x:v>1.03</x:v>
      </x:c>
      <x:c r="AR32" s="21" t="n">
        <x:v>1</x:v>
      </x:c>
      <x:c r="AS32" s="21" t="n">
        <x:v>1</x:v>
      </x:c>
      <x:c r="AT32" s="21" t="n">
        <x:v>1</x:v>
      </x:c>
      <x:c r="AU32" s="21" t="n">
        <x:v>0</x:v>
      </x:c>
      <x:c r="AV32" s="22" t="n">
        <x:f>IF(C32="QB",N32*0.04+O32*4-P32*2+R32*0.1+S32*6,IF(OR(C32="RB",C32="WR",C32="TE"),U32*0.1+V32*6+R32*0.1+S32*6+X32*0.5+Y32*0.1+Z32*6,IF(C32="K",AC32*3+AD32*4+AE32*5+AF32,IF(C32="DST",AG32+AH32*2+AI32*6+AL32,0))))</x:f>
        <x:v>13.939865698324024</x:v>
      </x:c>
      <x:c r="AW32" s="22" t="n">
        <x:f>(AV32+AU32)*G32</x:f>
        <x:v>11.15189255865922</x:v>
      </x:c>
      <x:c r="AX32" s="22" t="n">
        <x:f>MAX(0,AW32*IF(C32="QB",0.68,IF(C32="RB",0.58,IF(C32="WR",0.52,IF(C32="TE",0.50,IF(C32="K",0.55,0.40))))))</x:f>
        <x:v>7.5832869398882705</x:v>
      </x:c>
      <x:c r="AY32" s="22" t="n">
        <x:f>AW32*IF(C32="QB",1.32,IF(C32="RB",1.45,IF(C32="WR",1.55,IF(C32="TE",1.60,IF(C32="K",1.45,1.65)))))</x:f>
        <x:v>14.720498177430171</x:v>
      </x:c>
      <x:c r="AZ32" s="12" t="str">
        <x:v>Moderate</x:v>
      </x:c>
      <x:c r="BA32" s="12" t="n">
        <x:v>6</x:v>
      </x:c>
      <x:c r="BB32" s="12" t="n">
        <x:f>COUNTIFS($C$2:$C$344,C32,$AW$2:$AW$344,"&gt;"&amp;AW32,$G$2:$G$344,"&gt;0")+COUNTIFS($C$2:C32,C32,$AW$2:AW32,AW32,$G$2:G32,"&gt;0")</x:f>
        <x:v>31</x:v>
      </x:c>
      <x:c r="BC32" s="12" t="n">
        <x:v>31</x:v>
      </x:c>
      <x:c r="BD32" s="12" t="str">
        <x:f>IF(BB32&lt;BC32,"↑",IF(BB32&gt;BC32,"↓","→"))</x:f>
        <x:v>→</x:v>
      </x:c>
      <x:c r="BE32" s="23" t="str">
        <x:v>Reuters, Sep. 22: expected back at practice Wednesday after hip absence</x:v>
      </x:c>
      <x:c r="BF32" s="23" t="str">
        <x:v>Projected to reclaim the job if active; modest mobility/efficiency discount.</x:v>
      </x:c>
      <x:c r="BG32" s="23" t="str">
        <x:v>Wednesday practice participation and Seattle starter announcement</x:v>
      </x:c>
      <x:c r="BH32" s="24" t="str">
        <x:v>2026-09-23 10:35 CT</x:v>
      </x:c>
    </x:row>
    <x:row r="33">
      <x:c r="A33" s="12" t="str">
        <x:v>Caleb Williams</x:v>
      </x:c>
      <x:c r="B33" s="12" t="str">
        <x:v>CHI</x:v>
      </x:c>
      <x:c r="C33" s="12" t="str">
        <x:v>QB</x:v>
      </x:c>
      <x:c r="D33" s="12" t="str">
        <x:v>PHI</x:v>
      </x:c>
      <x:c r="E33" s="12" t="str">
        <x:v>Home</x:v>
      </x:c>
      <x:c r="F33" s="12" t="str">
        <x:v>2026-09-28</x:v>
      </x:c>
      <x:c r="G33" s="19" t="n">
        <x:v>0.55</x:v>
      </x:c>
      <x:c r="H33" s="20" t="str">
        <x:v>QUESTIONABLE</x:v>
      </x:c>
      <x:c r="I33" s="20" t="n">
        <x:v>58.7264</x:v>
      </x:c>
      <x:c r="J33" s="20" t="str">
        <x:v>Dropbacks</x:v>
      </x:c>
      <x:c r="K33" s="20" t="n">
        <x:v>37.66417877094972</x:v>
      </x:c>
      <x:c r="L33" s="21" t="n">
        <x:v>33.29430167597766</x:v>
      </x:c>
      <x:c r="M33" s="21" t="n">
        <x:v>21.849385474860338</x:v>
      </x:c>
      <x:c r="N33" s="21" t="n">
        <x:v>225.33583374301676</x:v>
      </x:c>
      <x:c r="O33" s="21" t="n">
        <x:v>1.4083489608938549</x:v>
      </x:c>
      <x:c r="P33" s="21" t="n">
        <x:v>0.758659217877095</x:v>
      </x:c>
      <x:c r="Q33" s="21" t="n">
        <x:v>4.369877094972067</x:v>
      </x:c>
      <x:c r="R33" s="21" t="n">
        <x:v>23.47248268156424</x:v>
      </x:c>
      <x:c r="S33" s="21" t="n">
        <x:v>0.18777986145251396</x:v>
      </x:c>
      <x:c r="T33" s="21" t="n">
        <x:v>0</x:v>
      </x:c>
      <x:c r="U33" s="21" t="n">
        <x:v>0</x:v>
      </x:c>
      <x:c r="V33" s="21" t="n">
        <x:v>0</x:v>
      </x:c>
      <x:c r="W33" s="21" t="n">
        <x:v>0</x:v>
      </x:c>
      <x:c r="X33" s="21" t="n">
        <x:v>0</x:v>
      </x:c>
      <x:c r="Y33" s="21" t="n">
        <x:v>0</x:v>
      </x:c>
      <x:c r="Z33" s="21" t="n">
        <x:v>0</x:v>
      </x:c>
      <x:c r="AA33" s="21" t="n">
        <x:v>0</x:v>
      </x:c>
      <x:c r="AB33" s="21" t="n">
        <x:v>0</x:v>
      </x:c>
      <x:c r="AC33" s="21" t="n">
        <x:v>0</x:v>
      </x:c>
      <x:c r="AD33" s="21" t="n">
        <x:v>0</x:v>
      </x:c>
      <x:c r="AE33" s="21" t="n">
        <x:v>0</x:v>
      </x:c>
      <x:c r="AF33" s="21" t="n">
        <x:v>0</x:v>
      </x:c>
      <x:c r="AG33" s="21" t="n">
        <x:v>0</x:v>
      </x:c>
      <x:c r="AH33" s="21" t="n">
        <x:v>0</x:v>
      </x:c>
      <x:c r="AI33" s="21" t="n">
        <x:v>0</x:v>
      </x:c>
      <x:c r="AJ33" s="21" t="n">
        <x:v>0</x:v>
      </x:c>
      <x:c r="AK33" s="21" t="n">
        <x:v>0</x:v>
      </x:c>
      <x:c r="AL33" s="21" t="n">
        <x:v>0</x:v>
      </x:c>
      <x:c r="AM33" s="21" t="n">
        <x:v>0.55</x:v>
      </x:c>
      <x:c r="AN33" s="21" t="n">
        <x:v>0.96</x:v>
      </x:c>
      <x:c r="AO33" s="21" t="n">
        <x:v>1</x:v>
      </x:c>
      <x:c r="AP33" s="21" t="n">
        <x:v>0.96</x:v>
      </x:c>
      <x:c r="AQ33" s="21" t="n">
        <x:v>0.94</x:v>
      </x:c>
      <x:c r="AR33" s="21" t="n">
        <x:v>1</x:v>
      </x:c>
      <x:c r="AS33" s="21" t="n">
        <x:v>1</x:v>
      </x:c>
      <x:c r="AT33" s="21" t="n">
        <x:v>1</x:v>
      </x:c>
      <x:c r="AU33" s="21" t="n">
        <x:v>0</x:v>
      </x:c>
      <x:c r="AV33" s="22" t="n">
        <x:f>IF(C33="QB",N33*0.04+O33*4-P33*2+R33*0.1+S33*6,IF(OR(C33="RB",C33="WR",C33="TE"),U33*0.1+V33*6+R33*0.1+S33*6+X33*0.5+Y33*0.1+Z33*6,IF(C33="K",AC33*3+AD33*4+AE33*5+AF33,IF(C33="DST",AG33+AH33*2+AI33*6+AL33,0))))</x:f>
        <x:v>16.603438194413407</x:v>
      </x:c>
      <x:c r="AW33" s="22" t="n">
        <x:f>(AV33+AU33)*G33</x:f>
        <x:v>9.131891006927374</x:v>
      </x:c>
      <x:c r="AX33" s="22" t="n">
        <x:f>MAX(0,AW33*IF(C33="QB",0.68,IF(C33="RB",0.58,IF(C33="WR",0.52,IF(C33="TE",0.50,IF(C33="K",0.55,0.40))))))</x:f>
        <x:v>6.2096858847106144</x:v>
      </x:c>
      <x:c r="AY33" s="22" t="n">
        <x:f>AW33*IF(C33="QB",1.32,IF(C33="RB",1.45,IF(C33="WR",1.55,IF(C33="TE",1.60,IF(C33="K",1.45,1.65)))))</x:f>
        <x:v>12.054096129144133</x:v>
      </x:c>
      <x:c r="AZ33" s="12" t="str">
        <x:v>Low</x:v>
      </x:c>
      <x:c r="BA33" s="12" t="n">
        <x:v>6</x:v>
      </x:c>
      <x:c r="BB33" s="12" t="n">
        <x:f>COUNTIFS($C$2:$C$344,C33,$AW$2:$AW$344,"&gt;"&amp;AW33,$G$2:$G$344,"&gt;0")+COUNTIFS($C$2:C33,C33,$AW$2:AW33,AW33,$G$2:G33,"&gt;0")</x:f>
        <x:v>32</x:v>
      </x:c>
      <x:c r="BC33" s="12" t="n">
        <x:v>32</x:v>
      </x:c>
      <x:c r="BD33" s="12" t="str">
        <x:f>IF(BB33&lt;BC33,"↑",IF(BB33&gt;BC33,"↓","→"))</x:f>
        <x:v>→</x:v>
      </x:c>
      <x:c r="BE33" s="23" t="str">
        <x:v>Team/national reporting: hamstring strain; week-to-week</x:v>
      </x:c>
      <x:c r="BF33" s="23" t="str">
        <x:v>Monday game preserves recovery time, but availability and rushing volume are both discounted.</x:v>
      </x:c>
      <x:c r="BG33" s="23" t="str">
        <x:v>Wednesday-Saturday practice participation and official designation</x:v>
      </x:c>
      <x:c r="BH33" s="24" t="str">
        <x:v>2026-09-23 10:35 CT</x:v>
      </x:c>
    </x:row>
    <x:row r="34">
      <x:c r="A34" s="12" t="str">
        <x:v>Case Keenum</x:v>
      </x:c>
      <x:c r="B34" s="12" t="str">
        <x:v>CHI</x:v>
      </x:c>
      <x:c r="C34" s="12" t="str">
        <x:v>QB</x:v>
      </x:c>
      <x:c r="D34" s="12" t="str">
        <x:v>PHI</x:v>
      </x:c>
      <x:c r="E34" s="12" t="str">
        <x:v>Home</x:v>
      </x:c>
      <x:c r="F34" s="12" t="str">
        <x:v>2026-09-28</x:v>
      </x:c>
      <x:c r="G34" s="19" t="n">
        <x:v>0.45</x:v>
      </x:c>
      <x:c r="H34" s="20" t="str">
        <x:v>QUESTIONABLE</x:v>
      </x:c>
      <x:c r="I34" s="20" t="n">
        <x:v>62</x:v>
      </x:c>
      <x:c r="J34" s="20" t="str">
        <x:v>Dropbacks</x:v>
      </x:c>
      <x:c r="K34" s="20" t="n">
        <x:v>36</x:v>
      </x:c>
      <x:c r="L34" s="21" t="n">
        <x:v>32</x:v>
      </x:c>
      <x:c r="M34" s="21" t="n">
        <x:v>20.5</x:v>
      </x:c>
      <x:c r="N34" s="21" t="n">
        <x:v>132.20159999999998</x:v>
      </x:c>
      <x:c r="O34" s="21" t="n">
        <x:v>1.0377599999999998</x:v>
      </x:c>
      <x:c r="P34" s="21" t="n">
        <x:v>0.75</x:v>
      </x:c>
      <x:c r="Q34" s="21" t="n">
        <x:v>4.2</x:v>
      </x:c>
      <x:c r="R34" s="21" t="n">
        <x:v>20.7552</x:v>
      </x:c>
      <x:c r="S34" s="21" t="n">
        <x:v>0.126336</x:v>
      </x:c>
      <x:c r="T34" s="21" t="n">
        <x:v>0</x:v>
      </x:c>
      <x:c r="U34" s="21" t="n">
        <x:v>0</x:v>
      </x:c>
      <x:c r="V34" s="21" t="n">
        <x:v>0</x:v>
      </x:c>
      <x:c r="W34" s="21" t="n">
        <x:v>0</x:v>
      </x:c>
      <x:c r="X34" s="21" t="n">
        <x:v>0</x:v>
      </x:c>
      <x:c r="Y34" s="21" t="n">
        <x:v>0</x:v>
      </x:c>
      <x:c r="Z34" s="21" t="n">
        <x:v>0</x:v>
      </x:c>
      <x:c r="AA34" s="21" t="n">
        <x:v>0</x:v>
      </x:c>
      <x:c r="AB34" s="21" t="n">
        <x:v>0</x:v>
      </x:c>
      <x:c r="AC34" s="21" t="n">
        <x:v>0</x:v>
      </x:c>
      <x:c r="AD34" s="21" t="n">
        <x:v>0</x:v>
      </x:c>
      <x:c r="AE34" s="21" t="n">
        <x:v>0</x:v>
      </x:c>
      <x:c r="AF34" s="21" t="n">
        <x:v>0</x:v>
      </x:c>
      <x:c r="AG34" s="21" t="n">
        <x:v>0</x:v>
      </x:c>
      <x:c r="AH34" s="21" t="n">
        <x:v>0</x:v>
      </x:c>
      <x:c r="AI34" s="21" t="n">
        <x:v>0</x:v>
      </x:c>
      <x:c r="AJ34" s="21" t="n">
        <x:v>0</x:v>
      </x:c>
      <x:c r="AK34" s="21" t="n">
        <x:v>0</x:v>
      </x:c>
      <x:c r="AL34" s="21" t="n">
        <x:v>0</x:v>
      </x:c>
      <x:c r="AM34" s="21" t="n">
        <x:v>0.45</x:v>
      </x:c>
      <x:c r="AN34" s="21" t="n">
        <x:v>1</x:v>
      </x:c>
      <x:c r="AO34" s="21" t="n">
        <x:v>1</x:v>
      </x:c>
      <x:c r="AP34" s="21" t="n">
        <x:v>0.96</x:v>
      </x:c>
      <x:c r="AQ34" s="21" t="n">
        <x:v>0.94</x:v>
      </x:c>
      <x:c r="AR34" s="21" t="n">
        <x:v>1</x:v>
      </x:c>
      <x:c r="AS34" s="21" t="n">
        <x:v>1</x:v>
      </x:c>
      <x:c r="AT34" s="21" t="n">
        <x:v>1</x:v>
      </x:c>
      <x:c r="AU34" s="21" t="n">
        <x:v>0</x:v>
      </x:c>
      <x:c r="AV34" s="22" t="n">
        <x:f>IF(C34="QB",N34*0.04+O34*4-P34*2+R34*0.1+S34*6,IF(OR(C34="RB",C34="WR",C34="TE"),U34*0.1+V34*6+R34*0.1+S34*6+X34*0.5+Y34*0.1+Z34*6,IF(C34="K",AC34*3+AD34*4+AE34*5+AF34,IF(C34="DST",AG34+AH34*2+AI34*6+AL34,0))))</x:f>
        <x:v>10.772639999999997</x:v>
      </x:c>
      <x:c r="AW34" s="22" t="n">
        <x:f>(AV34+AU34)*G34</x:f>
        <x:v>4.847687999999999</x:v>
      </x:c>
      <x:c r="AX34" s="22" t="n">
        <x:f>MAX(0,AW34*IF(C34="QB",0.68,IF(C34="RB",0.58,IF(C34="WR",0.52,IF(C34="TE",0.50,IF(C34="K",0.55,0.40))))))</x:f>
        <x:v>3.2964278399999993</x:v>
      </x:c>
      <x:c r="AY34" s="22" t="n">
        <x:f>AW34*IF(C34="QB",1.32,IF(C34="RB",1.45,IF(C34="WR",1.55,IF(C34="TE",1.60,IF(C34="K",1.45,1.65)))))</x:f>
        <x:v>6.398948159999999</x:v>
      </x:c>
      <x:c r="AZ34" s="12" t="str">
        <x:v>Low</x:v>
      </x:c>
      <x:c r="BA34" s="12" t="n">
        <x:v>6</x:v>
      </x:c>
      <x:c r="BB34" s="12" t="n">
        <x:f>COUNTIFS($C$2:$C$344,C34,$AW$2:$AW$344,"&gt;"&amp;AW34,$G$2:$G$344,"&gt;0")+COUNTIFS($C$2:C34,C34,$AW$2:AW34,AW34,$G$2:G34,"&gt;0")</x:f>
        <x:v>33</x:v>
      </x:c>
      <x:c r="BC34" s="12" t="n">
        <x:v>33</x:v>
      </x:c>
      <x:c r="BD34" s="12" t="str">
        <x:f>IF(BB34&lt;BC34,"↑",IF(BB34&gt;BC34,"↓","→"))</x:f>
        <x:v>→</x:v>
      </x:c>
      <x:c r="BE34" s="23" t="str">
        <x:v>Bears quarterback contingency after Williams hamstring and Bagent concussion</x:v>
      </x:c>
      <x:c r="BF34" s="23" t="str">
        <x:v>Probability-weighted emergency start projection; difficult matchup limits ceiling.</x:v>
      </x:c>
      <x:c r="BG34" s="23" t="str">
        <x:v>Williams and Bagent practice participation</x:v>
      </x:c>
      <x:c r="BH34" s="24" t="str">
        <x:v>2026-09-23 10:35 CT</x:v>
      </x:c>
    </x:row>
    <x:row r="35">
      <x:c r="A35" s="12" t="str">
        <x:v>Jaxson Dart</x:v>
      </x:c>
      <x:c r="B35" s="12" t="str">
        <x:v>NYG</x:v>
      </x:c>
      <x:c r="C35" s="12" t="str">
        <x:v>QB</x:v>
      </x:c>
      <x:c r="D35" s="12" t="str">
        <x:v>TEN</x:v>
      </x:c>
      <x:c r="E35" s="12" t="str">
        <x:v>Home</x:v>
      </x:c>
      <x:c r="F35" s="12" t="str">
        <x:v>2026-09-27</x:v>
      </x:c>
      <x:c r="G35" s="19" t="n">
        <x:v>0</x:v>
      </x:c>
      <x:c r="H35" s="20" t="str">
        <x:v>OUT</x:v>
      </x:c>
      <x:c r="I35" s="20" t="n">
        <x:v>0</x:v>
      </x:c>
      <x:c r="J35" s="20" t="str">
        <x:v>Dropbacks</x:v>
      </x:c>
      <x:c r="K35" s="20" t="n">
        <x:v>36.40223463687151</x:v>
      </x:c>
      <x:c r="L35" s="21" t="n">
        <x:v>32.17877094972067</x:v>
      </x:c>
      <x:c r="M35" s="21" t="n">
        <x:v>21.117318435754193</x:v>
      </x:c>
      <x:c r="N35" s="21" t="n">
        <x:v>236.32089385474862</x:v>
      </x:c>
      <x:c r="O35" s="21" t="n">
        <x:v>1.4770055865921787</x:v>
      </x:c>
      <x:c r="P35" s="21" t="n">
        <x:v>0.7039106145251397</x:v>
      </x:c>
      <x:c r="Q35" s="21" t="n">
        <x:v>4.223463687150838</x:v>
      </x:c>
      <x:c r="R35" s="21" t="n">
        <x:v>24.616759776536316</x:v>
      </x:c>
      <x:c r="S35" s="21" t="n">
        <x:v>0.1969340782122905</x:v>
      </x:c>
      <x:c r="T35" s="21" t="n">
        <x:v>0</x:v>
      </x:c>
      <x:c r="U35" s="21" t="n">
        <x:v>0</x:v>
      </x:c>
      <x:c r="V35" s="21" t="n">
        <x:v>0</x:v>
      </x:c>
      <x:c r="W35" s="21" t="n">
        <x:v>0</x:v>
      </x:c>
      <x:c r="X35" s="21" t="n">
        <x:v>0</x:v>
      </x:c>
      <x:c r="Y35" s="21" t="n">
        <x:v>0</x:v>
      </x:c>
      <x:c r="Z35" s="21" t="n">
        <x:v>0</x:v>
      </x:c>
      <x:c r="AA35" s="21" t="n">
        <x:v>0</x:v>
      </x:c>
      <x:c r="AB35" s="21" t="n">
        <x:v>0</x:v>
      </x:c>
      <x:c r="AC35" s="21" t="n">
        <x:v>0</x:v>
      </x:c>
      <x:c r="AD35" s="21" t="n">
        <x:v>0</x:v>
      </x:c>
      <x:c r="AE35" s="21" t="n">
        <x:v>0</x:v>
      </x:c>
      <x:c r="AF35" s="21" t="n">
        <x:v>0</x:v>
      </x:c>
      <x:c r="AG35" s="21" t="n">
        <x:v>0</x:v>
      </x:c>
      <x:c r="AH35" s="21" t="n">
        <x:v>0</x:v>
      </x:c>
      <x:c r="AI35" s="21" t="n">
        <x:v>0</x:v>
      </x:c>
      <x:c r="AJ35" s="21" t="n">
        <x:v>0</x:v>
      </x:c>
      <x:c r="AK35" s="21" t="n">
        <x:v>0</x:v>
      </x:c>
      <x:c r="AL35" s="21" t="n">
        <x:v>0</x:v>
      </x:c>
      <x:c r="AM35" s="21" t="n">
        <x:v>0</x:v>
      </x:c>
      <x:c r="AN35" s="21" t="n">
        <x:v>1</x:v>
      </x:c>
      <x:c r="AO35" s="21" t="n">
        <x:v>1</x:v>
      </x:c>
      <x:c r="AP35" s="21" t="n">
        <x:v>0.96</x:v>
      </x:c>
      <x:c r="AQ35" s="21" t="n">
        <x:v>1.02</x:v>
      </x:c>
      <x:c r="AR35" s="21" t="n">
        <x:v>1</x:v>
      </x:c>
      <x:c r="AS35" s="21" t="n">
        <x:v>1</x:v>
      </x:c>
      <x:c r="AT35" s="21" t="n">
        <x:v>1</x:v>
      </x:c>
      <x:c r="AU35" s="21" t="n">
        <x:v>0</x:v>
      </x:c>
      <x:c r="AV35" s="22" t="n">
        <x:f>IF(C35="QB",N35*0.04+O35*4-P35*2+R35*0.1+S35*6,IF(OR(C35="RB",C35="WR",C35="TE"),U35*0.1+V35*6+R35*0.1+S35*6+X35*0.5+Y35*0.1+Z35*6,IF(C35="K",AC35*3+AD35*4+AE35*5+AF35,IF(C35="DST",AG35+AH35*2+AI35*6+AL35,0))))</x:f>
        <x:v>17.596317318435755</x:v>
      </x:c>
      <x:c r="AW35" s="22" t="n">
        <x:f>(AV35+AU35)*G35</x:f>
        <x:v>0</x:v>
      </x:c>
      <x:c r="AX35" s="22" t="n">
        <x:f>MAX(0,AW35*IF(C35="QB",0.68,IF(C35="RB",0.58,IF(C35="WR",0.52,IF(C35="TE",0.50,IF(C35="K",0.55,0.40))))))</x:f>
        <x:v>0</x:v>
      </x:c>
      <x:c r="AY35" s="22" t="n">
        <x:f>AW35*IF(C35="QB",1.32,IF(C35="RB",1.45,IF(C35="WR",1.55,IF(C35="TE",1.60,IF(C35="K",1.45,1.65)))))</x:f>
        <x:v>0</x:v>
      </x:c>
      <x:c r="AZ35" s="12" t="str">
        <x:v>High</x:v>
      </x:c>
      <x:c r="BA35" s="12" t="n">
        <x:v>6</x:v>
      </x:c>
      <x:c r="BB35" s="12"/>
      <x:c r="BC35" s="12" t="n">
        <x:v>6</x:v>
      </x:c>
      <x:c r="BD35" s="12" t="str">
        <x:v>↓</x:v>
      </x:c>
      <x:c r="BE35" s="23" t="str">
        <x:v>https://www.giants.com/news/jaxson-dart-to-miss-rest-of-regular-season-jameis-winston-to-start-quarterback-injury-john-harbaugh</x:v>
      </x:c>
      <x:c r="BF35" s="23" t="str">
        <x:v>Out for regular season. Drop in redraft; hold in dynasty/keeper when future value matters,IR if eligible. Do not include as trade value in redraft.</x:v>
      </x:c>
      <x:c r="BG35" s="23" t="str">
        <x:v>Next official practice report and game-status designation</x:v>
      </x:c>
      <x:c r="BH35" s="24" t="str">
        <x:v>2026-09-24 7:40 PM CT</x:v>
      </x:c>
    </x:row>
    <x:row r="36">
      <x:c r="A36" s="12" t="str">
        <x:v>Jayden Daniels</x:v>
      </x:c>
      <x:c r="B36" s="12" t="str">
        <x:v>WAS</x:v>
      </x:c>
      <x:c r="C36" s="12" t="str">
        <x:v>QB</x:v>
      </x:c>
      <x:c r="D36" s="12" t="str">
        <x:v>SEA</x:v>
      </x:c>
      <x:c r="E36" s="12" t="str">
        <x:v>Home</x:v>
      </x:c>
      <x:c r="F36" s="12" t="str">
        <x:v>2026-09-27</x:v>
      </x:c>
      <x:c r="G36" s="19" t="n">
        <x:v>0</x:v>
      </x:c>
      <x:c r="H36" s="20" t="str">
        <x:v>OUT</x:v>
      </x:c>
      <x:c r="I36" s="20" t="n">
        <x:v>0</x:v>
      </x:c>
      <x:c r="J36" s="20" t="str">
        <x:v>Dropbacks</x:v>
      </x:c>
      <x:c r="K36" s="20" t="n">
        <x:v>37.81787709497207</x:v>
      </x:c>
      <x:c r="L36" s="21" t="n">
        <x:v>33.43016759776536</x:v>
      </x:c>
      <x:c r="M36" s="21" t="n">
        <x:v>21.938547486033517</x:v>
      </x:c>
      <x:c r="N36" s="21" t="n">
        <x:v>238.34037988826813</x:v>
      </x:c>
      <x:c r="O36" s="21" t="n">
        <x:v>1.489627374301676</x:v>
      </x:c>
      <x:c r="P36" s="21" t="n">
        <x:v>0.7312849162011172</x:v>
      </x:c>
      <x:c r="Q36" s="21" t="n">
        <x:v>4.387709497206704</x:v>
      </x:c>
      <x:c r="R36" s="21" t="n">
        <x:v>24.82712290502793</x:v>
      </x:c>
      <x:c r="S36" s="21" t="n">
        <x:v>0.19861698324022348</x:v>
      </x:c>
      <x:c r="T36" s="21" t="n">
        <x:v>0</x:v>
      </x:c>
      <x:c r="U36" s="21" t="n">
        <x:v>0</x:v>
      </x:c>
      <x:c r="V36" s="21" t="n">
        <x:v>0</x:v>
      </x:c>
      <x:c r="W36" s="21" t="n">
        <x:v>0</x:v>
      </x:c>
      <x:c r="X36" s="21" t="n">
        <x:v>0</x:v>
      </x:c>
      <x:c r="Y36" s="21" t="n">
        <x:v>0</x:v>
      </x:c>
      <x:c r="Z36" s="21" t="n">
        <x:v>0</x:v>
      </x:c>
      <x:c r="AA36" s="21" t="n">
        <x:v>0</x:v>
      </x:c>
      <x:c r="AB36" s="21" t="n">
        <x:v>0</x:v>
      </x:c>
      <x:c r="AC36" s="21" t="n">
        <x:v>0</x:v>
      </x:c>
      <x:c r="AD36" s="21" t="n">
        <x:v>0</x:v>
      </x:c>
      <x:c r="AE36" s="21" t="n">
        <x:v>0</x:v>
      </x:c>
      <x:c r="AF36" s="21" t="n">
        <x:v>0</x:v>
      </x:c>
      <x:c r="AG36" s="21" t="n">
        <x:v>0</x:v>
      </x:c>
      <x:c r="AH36" s="21" t="n">
        <x:v>0</x:v>
      </x:c>
      <x:c r="AI36" s="21" t="n">
        <x:v>0</x:v>
      </x:c>
      <x:c r="AJ36" s="21" t="n">
        <x:v>0</x:v>
      </x:c>
      <x:c r="AK36" s="21" t="n">
        <x:v>0</x:v>
      </x:c>
      <x:c r="AL36" s="21" t="n">
        <x:v>0</x:v>
      </x:c>
      <x:c r="AM36" s="21" t="n">
        <x:v>0</x:v>
      </x:c>
      <x:c r="AN36" s="21" t="n">
        <x:v>1</x:v>
      </x:c>
      <x:c r="AO36" s="21" t="n">
        <x:v>1</x:v>
      </x:c>
      <x:c r="AP36" s="21" t="n">
        <x:v>0.97</x:v>
      </x:c>
      <x:c r="AQ36" s="21" t="n">
        <x:v>0.98</x:v>
      </x:c>
      <x:c r="AR36" s="21" t="n">
        <x:v>1</x:v>
      </x:c>
      <x:c r="AS36" s="21" t="n">
        <x:v>1</x:v>
      </x:c>
      <x:c r="AT36" s="21" t="n">
        <x:v>1</x:v>
      </x:c>
      <x:c r="AU36" s="21" t="n">
        <x:v>0</x:v>
      </x:c>
      <x:c r="AV36" s="22" t="n">
        <x:f>IF(C36="QB",N36*0.04+O36*4-P36*2+R36*0.1+S36*6,IF(OR(C36="RB",C36="WR",C36="TE"),U36*0.1+V36*6+R36*0.1+S36*6+X36*0.5+Y36*0.1+Z36*6,IF(C36="K",AC36*3+AD36*4+AE36*5+AF36,IF(C36="DST",AG36+AH36*2+AI36*6+AL36,0))))</x:f>
        <x:v>17.70396905027933</x:v>
      </x:c>
      <x:c r="AW36" s="22" t="n">
        <x:f>(AV36+AU36)*G36</x:f>
        <x:v>0</x:v>
      </x:c>
      <x:c r="AX36" s="22" t="n">
        <x:f>MAX(0,AW36*IF(C36="QB",0.68,IF(C36="RB",0.58,IF(C36="WR",0.52,IF(C36="TE",0.50,IF(C36="K",0.55,0.40))))))</x:f>
        <x:v>0</x:v>
      </x:c>
      <x:c r="AY36" s="22" t="n">
        <x:f>AW36*IF(C36="QB",1.32,IF(C36="RB",1.45,IF(C36="WR",1.55,IF(C36="TE",1.60,IF(C36="K",1.45,1.65)))))</x:f>
        <x:v>0</x:v>
      </x:c>
      <x:c r="AZ36" s="12" t="str">
        <x:v>Low</x:v>
      </x:c>
      <x:c r="BA36" s="12" t="n">
        <x:v>6</x:v>
      </x:c>
      <x:c r="BB36" s="12"/>
      <x:c r="BC36" s="12" t="n">
        <x:v>3</x:v>
      </x:c>
      <x:c r="BD36" s="12" t="str">
        <x:v>↓</x:v>
      </x:c>
      <x:c r="BE36" s="23" t="str">
        <x:v>National reporting, Sep. 21: elbow dislocation; Mariota expected to start</x:v>
      </x:c>
      <x:c r="BF36" s="23" t="str">
        <x:v>Removed from Week 3 while specialists determine timetable.</x:v>
      </x:c>
      <x:c r="BG36" s="23" t="str">
        <x:v>Specialist diagnosis and official game status</x:v>
      </x:c>
      <x:c r="BH36" s="24" t="str">
        <x:v>2026-09-23 10:35 CT</x:v>
      </x:c>
    </x:row>
    <x:row r="37">
      <x:c r="A37" s="12" t="str">
        <x:v>Jahmyr Gibbs</x:v>
      </x:c>
      <x:c r="B37" s="12" t="str">
        <x:v>DET</x:v>
      </x:c>
      <x:c r="C37" s="12" t="str">
        <x:v>RB</x:v>
      </x:c>
      <x:c r="D37" s="12" t="str">
        <x:v>NYJ</x:v>
      </x:c>
      <x:c r="E37" s="12" t="str">
        <x:v>Home</x:v>
      </x:c>
      <x:c r="F37" s="12" t="str">
        <x:v>2026-09-27</x:v>
      </x:c>
      <x:c r="G37" s="19" t="n">
        <x:v>1</x:v>
      </x:c>
      <x:c r="H37" s="20" t="str">
        <x:v>ACTIVE</x:v>
      </x:c>
      <x:c r="I37" s="20" t="n">
        <x:v>36</x:v>
      </x:c>
      <x:c r="J37" s="20" t="str">
        <x:v>Opportunities</x:v>
      </x:c>
      <x:c r="K37" s="20" t="n">
        <x:v>26.05263157894737</x:v>
      </x:c>
      <x:c r="L37" s="21" t="n">
        <x:v>0</x:v>
      </x:c>
      <x:c r="M37" s="21" t="n">
        <x:v>0</x:v>
      </x:c>
      <x:c r="N37" s="21" t="n">
        <x:v>0</x:v>
      </x:c>
      <x:c r="O37" s="21" t="n">
        <x:v>0</x:v>
      </x:c>
      <x:c r="P37" s="21" t="n">
        <x:v>0</x:v>
      </x:c>
      <x:c r="Q37" s="21" t="n">
        <x:v>0</x:v>
      </x:c>
      <x:c r="R37" s="21" t="n">
        <x:v>0</x:v>
      </x:c>
      <x:c r="S37" s="21" t="n">
        <x:v>0</x:v>
      </x:c>
      <x:c r="T37" s="21" t="n">
        <x:v>20.526315789473685</x:v>
      </x:c>
      <x:c r="U37" s="21" t="n">
        <x:v>95.26957894736843</x:v>
      </x:c>
      <x:c r="V37" s="21" t="n">
        <x:v>0.6570315789473685</x:v>
      </x:c>
      <x:c r="W37" s="21" t="n">
        <x:v>5.526315789473684</x:v>
      </x:c>
      <x:c r="X37" s="21" t="n">
        <x:v>4.2631578947368425</x:v>
      </x:c>
      <x:c r="Y37" s="21" t="n">
        <x:v>36.136736842105265</x:v>
      </x:c>
      <x:c r="Z37" s="21" t="n">
        <x:v>0.16425789473684213</x:v>
      </x:c>
      <x:c r="AA37" s="21" t="n">
        <x:v>0</x:v>
      </x:c>
      <x:c r="AB37" s="21" t="n">
        <x:v>0</x:v>
      </x:c>
      <x:c r="AC37" s="21" t="n">
        <x:v>0</x:v>
      </x:c>
      <x:c r="AD37" s="21" t="n">
        <x:v>0</x:v>
      </x:c>
      <x:c r="AE37" s="21" t="n">
        <x:v>0</x:v>
      </x:c>
      <x:c r="AF37" s="21" t="n">
        <x:v>0</x:v>
      </x:c>
      <x:c r="AG37" s="21" t="n">
        <x:v>0</x:v>
      </x:c>
      <x:c r="AH37" s="21" t="n">
        <x:v>0</x:v>
      </x:c>
      <x:c r="AI37" s="21" t="n">
        <x:v>0</x:v>
      </x:c>
      <x:c r="AJ37" s="21" t="n">
        <x:v>0</x:v>
      </x:c>
      <x:c r="AK37" s="21" t="n">
        <x:v>0</x:v>
      </x:c>
      <x:c r="AL37" s="21" t="n">
        <x:v>0</x:v>
      </x:c>
      <x:c r="AM37" s="21" t="n">
        <x:v>1</x:v>
      </x:c>
      <x:c r="AN37" s="21" t="n">
        <x:v>1</x:v>
      </x:c>
      <x:c r="AO37" s="21" t="n">
        <x:v>1</x:v>
      </x:c>
      <x:c r="AP37" s="21" t="n">
        <x:v>1.03</x:v>
      </x:c>
      <x:c r="AQ37" s="21" t="n">
        <x:v>1.01</x:v>
      </x:c>
      <x:c r="AR37" s="21" t="n">
        <x:v>1</x:v>
      </x:c>
      <x:c r="AS37" s="21" t="n">
        <x:v>1</x:v>
      </x:c>
      <x:c r="AT37" s="21" t="n">
        <x:v>1</x:v>
      </x:c>
      <x:c r="AU37" s="21" t="n">
        <x:v>0</x:v>
      </x:c>
      <x:c r="AV37" s="22" t="n">
        <x:f>IF(C37="QB",N37*0.04+O37*4-P37*2+R37*0.1+S37*6,IF(OR(C37="RB",C37="WR",C37="TE"),U37*0.1+V37*6+R37*0.1+S37*6+X37*0.5+Y37*0.1+Z37*6,IF(C37="K",AC37*3+AD37*4+AE37*5+AF37,IF(C37="DST",AG37+AH37*2+AI37*6+AL37,0))))</x:f>
        <x:v>20.199947368421057</x:v>
      </x:c>
      <x:c r="AW37" s="22" t="n">
        <x:f>(AV37+AU37)*G37</x:f>
        <x:v>20.199947368421057</x:v>
      </x:c>
      <x:c r="AX37" s="22" t="n">
        <x:f>MAX(0,AW37*IF(C37="QB",0.68,IF(C37="RB",0.58,IF(C37="WR",0.52,IF(C37="TE",0.50,IF(C37="K",0.55,0.40))))))</x:f>
        <x:v>11.715969473684213</x:v>
      </x:c>
      <x:c r="AY37" s="22" t="n">
        <x:f>AW37*IF(C37="QB",1.32,IF(C37="RB",1.45,IF(C37="WR",1.55,IF(C37="TE",1.60,IF(C37="K",1.45,1.65)))))</x:f>
        <x:v>29.28992368421053</x:v>
      </x:c>
      <x:c r="AZ37" s="12" t="str">
        <x:v>High</x:v>
      </x:c>
      <x:c r="BA37" s="12" t="n">
        <x:v>1</x:v>
      </x:c>
      <x:c r="BB37" s="12" t="n">
        <x:f>COUNTIFS($C$2:$C$344,C37,$AW$2:$AW$344,"&gt;"&amp;AW37,$G$2:$G$344,"&gt;0")+COUNTIFS($C$2:C37,C37,$AW$2:AW37,AW37,$G$2:G37,"&gt;0")</x:f>
        <x:v>1</x:v>
      </x:c>
      <x:c r="BC37" s="12" t="n">
        <x:v>1</x:v>
      </x:c>
      <x:c r="BD37" s="12" t="str">
        <x:f>IF(BB37&lt;BC37,"↑",IF(BB37&gt;BC37,"↓","→"))</x:f>
        <x:v>→</x:v>
      </x:c>
      <x:c r="BE37" s="23" t="str">
        <x:v>Fantasy Football Brief ROS baseline; official NFL schedule</x:v>
      </x:c>
      <x:c r="BF37" s="23" t="str">
        <x:v>Current role and availability baseline; all adjustment factors shown numerically</x:v>
      </x:c>
      <x:c r="BG37" s="23" t="str">
        <x:v>Material injury, depth-chart, or role change</x:v>
      </x:c>
      <x:c r="BH37" s="24" t="str">
        <x:v>2026-09-23 10:35 CT</x:v>
      </x:c>
    </x:row>
    <x:row r="38">
      <x:c r="A38" s="12" t="str">
        <x:v>Bijan Robinson</x:v>
      </x:c>
      <x:c r="B38" s="12" t="str">
        <x:v>ATL</x:v>
      </x:c>
      <x:c r="C38" s="12" t="str">
        <x:v>RB</x:v>
      </x:c>
      <x:c r="D38" s="12" t="str">
        <x:v>GB</x:v>
      </x:c>
      <x:c r="E38" s="12" t="str">
        <x:v>Away</x:v>
      </x:c>
      <x:c r="F38" s="12" t="str">
        <x:v>2026-09-24</x:v>
      </x:c>
      <x:c r="G38" s="19" t="n">
        <x:v>1</x:v>
      </x:c>
      <x:c r="H38" s="20" t="str">
        <x:v>ACTIVE</x:v>
      </x:c>
      <x:c r="I38" s="20" t="n">
        <x:v>36</x:v>
      </x:c>
      <x:c r="J38" s="20" t="str">
        <x:v>Opportunities</x:v>
      </x:c>
      <x:c r="K38" s="20" t="n">
        <x:v>25.65182186234818</x:v>
      </x:c>
      <x:c r="L38" s="21" t="n">
        <x:v>0</x:v>
      </x:c>
      <x:c r="M38" s="21" t="n">
        <x:v>0</x:v>
      </x:c>
      <x:c r="N38" s="21" t="n">
        <x:v>0</x:v>
      </x:c>
      <x:c r="O38" s="21" t="n">
        <x:v>0</x:v>
      </x:c>
      <x:c r="P38" s="21" t="n">
        <x:v>0</x:v>
      </x:c>
      <x:c r="Q38" s="21" t="n">
        <x:v>0</x:v>
      </x:c>
      <x:c r="R38" s="21" t="n">
        <x:v>0</x:v>
      </x:c>
      <x:c r="S38" s="21" t="n">
        <x:v>0</x:v>
      </x:c>
      <x:c r="T38" s="21" t="n">
        <x:v>20.210526315789473</x:v>
      </x:c>
      <x:c r="U38" s="21" t="n">
        <x:v>84.84099109311741</x:v>
      </x:c>
      <x:c r="V38" s="21" t="n">
        <x:v>0.5851102834008097</x:v>
      </x:c>
      <x:c r="W38" s="21" t="n">
        <x:v>5.441295546558704</x:v>
      </x:c>
      <x:c r="X38" s="21" t="n">
        <x:v>4.197570850202429</x:v>
      </x:c>
      <x:c r="Y38" s="21" t="n">
        <x:v>32.181065587044536</x:v>
      </x:c>
      <x:c r="Z38" s="21" t="n">
        <x:v>0.14627757085020243</x:v>
      </x:c>
      <x:c r="AA38" s="21" t="n">
        <x:v>0</x:v>
      </x:c>
      <x:c r="AB38" s="21" t="n">
        <x:v>0</x:v>
      </x:c>
      <x:c r="AC38" s="21" t="n">
        <x:v>0</x:v>
      </x:c>
      <x:c r="AD38" s="21" t="n">
        <x:v>0</x:v>
      </x:c>
      <x:c r="AE38" s="21" t="n">
        <x:v>0</x:v>
      </x:c>
      <x:c r="AF38" s="21" t="n">
        <x:v>0</x:v>
      </x:c>
      <x:c r="AG38" s="21" t="n">
        <x:v>0</x:v>
      </x:c>
      <x:c r="AH38" s="21" t="n">
        <x:v>0</x:v>
      </x:c>
      <x:c r="AI38" s="21" t="n">
        <x:v>0</x:v>
      </x:c>
      <x:c r="AJ38" s="21" t="n">
        <x:v>0</x:v>
      </x:c>
      <x:c r="AK38" s="21" t="n">
        <x:v>0</x:v>
      </x:c>
      <x:c r="AL38" s="21" t="n">
        <x:v>0</x:v>
      </x:c>
      <x:c r="AM38" s="21" t="n">
        <x:v>1</x:v>
      </x:c>
      <x:c r="AN38" s="21" t="n">
        <x:v>1</x:v>
      </x:c>
      <x:c r="AO38" s="21" t="n">
        <x:v>1</x:v>
      </x:c>
      <x:c r="AP38" s="21" t="n">
        <x:v>0.97</x:v>
      </x:c>
      <x:c r="AQ38" s="21" t="n">
        <x:v>0.97</x:v>
      </x:c>
      <x:c r="AR38" s="21" t="n">
        <x:v>1</x:v>
      </x:c>
      <x:c r="AS38" s="21" t="n">
        <x:v>1</x:v>
      </x:c>
      <x:c r="AT38" s="21" t="n">
        <x:v>1</x:v>
      </x:c>
      <x:c r="AU38" s="21" t="n">
        <x:v>0</x:v>
      </x:c>
      <x:c r="AV38" s="22" t="n">
        <x:f>IF(C38="QB",N38*0.04+O38*4-P38*2+R38*0.1+S38*6,IF(OR(C38="RB",C38="WR",C38="TE"),U38*0.1+V38*6+R38*0.1+S38*6+X38*0.5+Y38*0.1+Z38*6,IF(C38="K",AC38*3+AD38*4+AE38*5+AF38,IF(C38="DST",AG38+AH38*2+AI38*6+AL38,0))))</x:f>
        <x:v>18.18931821862348</x:v>
      </x:c>
      <x:c r="AW38" s="22" t="n">
        <x:f>(AV38+AU38)*G38</x:f>
        <x:v>18.18931821862348</x:v>
      </x:c>
      <x:c r="AX38" s="22" t="n">
        <x:f>MAX(0,AW38*IF(C38="QB",0.68,IF(C38="RB",0.58,IF(C38="WR",0.52,IF(C38="TE",0.50,IF(C38="K",0.55,0.40))))))</x:f>
        <x:v>10.549804566801617</x:v>
      </x:c>
      <x:c r="AY38" s="22" t="n">
        <x:f>AW38*IF(C38="QB",1.32,IF(C38="RB",1.45,IF(C38="WR",1.55,IF(C38="TE",1.60,IF(C38="K",1.45,1.65)))))</x:f>
        <x:v>26.374511417004047</x:v>
      </x:c>
      <x:c r="AZ38" s="12" t="str">
        <x:v>High</x:v>
      </x:c>
      <x:c r="BA38" s="12" t="n">
        <x:v>1</x:v>
      </x:c>
      <x:c r="BB38" s="12" t="n">
        <x:f>COUNTIFS($C$2:$C$344,C38,$AW$2:$AW$344,"&gt;"&amp;AW38,$G$2:$G$344,"&gt;0")+COUNTIFS($C$2:C38,C38,$AW$2:AW38,AW38,$G$2:G38,"&gt;0")</x:f>
        <x:v>2</x:v>
      </x:c>
      <x:c r="BC38" s="12" t="n">
        <x:v>2</x:v>
      </x:c>
      <x:c r="BD38" s="12" t="str">
        <x:f>IF(BB38&lt;BC38,"↑",IF(BB38&gt;BC38,"↓","→"))</x:f>
        <x:v>→</x:v>
      </x:c>
      <x:c r="BE38" s="23" t="str">
        <x:v>Fantasy Football Brief ROS baseline; official NFL schedule</x:v>
      </x:c>
      <x:c r="BF38" s="23" t="str">
        <x:v>Current role and availability baseline; all adjustment factors shown numerically</x:v>
      </x:c>
      <x:c r="BG38" s="23" t="str">
        <x:v>Material injury, depth-chart, or role change</x:v>
      </x:c>
      <x:c r="BH38" s="24" t="str">
        <x:v>2026-09-23 10:35 CT</x:v>
      </x:c>
    </x:row>
    <x:row r="39">
      <x:c r="A39" s="12" t="str">
        <x:v>Kenneth Walker III</x:v>
      </x:c>
      <x:c r="B39" s="12" t="str">
        <x:v>KC</x:v>
      </x:c>
      <x:c r="C39" s="12" t="str">
        <x:v>RB</x:v>
      </x:c>
      <x:c r="D39" s="12" t="str">
        <x:v>MIA</x:v>
      </x:c>
      <x:c r="E39" s="12" t="str">
        <x:v>Away</x:v>
      </x:c>
      <x:c r="F39" s="12" t="str">
        <x:v>2026-09-27</x:v>
      </x:c>
      <x:c r="G39" s="19" t="n">
        <x:v>1</x:v>
      </x:c>
      <x:c r="H39" s="20" t="str">
        <x:v>ACTIVE</x:v>
      </x:c>
      <x:c r="I39" s="20" t="n">
        <x:v>36</x:v>
      </x:c>
      <x:c r="J39" s="20" t="str">
        <x:v>Opportunities</x:v>
      </x:c>
      <x:c r="K39" s="20" t="n">
        <x:v>21.910931174089065</x:v>
      </x:c>
      <x:c r="L39" s="21" t="n">
        <x:v>0</x:v>
      </x:c>
      <x:c r="M39" s="21" t="n">
        <x:v>0</x:v>
      </x:c>
      <x:c r="N39" s="21" t="n">
        <x:v>0</x:v>
      </x:c>
      <x:c r="O39" s="21" t="n">
        <x:v>0</x:v>
      </x:c>
      <x:c r="P39" s="21" t="n">
        <x:v>0</x:v>
      </x:c>
      <x:c r="Q39" s="21" t="n">
        <x:v>0</x:v>
      </x:c>
      <x:c r="R39" s="21" t="n">
        <x:v>0</x:v>
      </x:c>
      <x:c r="S39" s="21" t="n">
        <x:v>0</x:v>
      </x:c>
      <x:c r="T39" s="21" t="n">
        <x:v>17.26315789473684</x:v>
      </x:c>
      <x:c r="U39" s="21" t="n">
        <x:v>82.50408421052632</x:v>
      </x:c>
      <x:c r="V39" s="21" t="n">
        <x:v>0.5689936842105264</x:v>
      </x:c>
      <x:c r="W39" s="21" t="n">
        <x:v>4.647773279352227</x:v>
      </x:c>
      <x:c r="X39" s="21" t="n">
        <x:v>3.585425101214575</x:v>
      </x:c>
      <x:c r="Y39" s="21" t="n">
        <x:v>31.29465263157895</x:v>
      </x:c>
      <x:c r="Z39" s="21" t="n">
        <x:v>0.1422484210526316</x:v>
      </x:c>
      <x:c r="AA39" s="21" t="n">
        <x:v>0</x:v>
      </x:c>
      <x:c r="AB39" s="21" t="n">
        <x:v>0</x:v>
      </x:c>
      <x:c r="AC39" s="21" t="n">
        <x:v>0</x:v>
      </x:c>
      <x:c r="AD39" s="21" t="n">
        <x:v>0</x:v>
      </x:c>
      <x:c r="AE39" s="21" t="n">
        <x:v>0</x:v>
      </x:c>
      <x:c r="AF39" s="21" t="n">
        <x:v>0</x:v>
      </x:c>
      <x:c r="AG39" s="21" t="n">
        <x:v>0</x:v>
      </x:c>
      <x:c r="AH39" s="21" t="n">
        <x:v>0</x:v>
      </x:c>
      <x:c r="AI39" s="21" t="n">
        <x:v>0</x:v>
      </x:c>
      <x:c r="AJ39" s="21" t="n">
        <x:v>0</x:v>
      </x:c>
      <x:c r="AK39" s="21" t="n">
        <x:v>0</x:v>
      </x:c>
      <x:c r="AL39" s="21" t="n">
        <x:v>0</x:v>
      </x:c>
      <x:c r="AM39" s="21" t="n">
        <x:v>1</x:v>
      </x:c>
      <x:c r="AN39" s="21" t="n">
        <x:v>1</x:v>
      </x:c>
      <x:c r="AO39" s="21" t="n">
        <x:v>1</x:v>
      </x:c>
      <x:c r="AP39" s="21" t="n">
        <x:v>1.03</x:v>
      </x:c>
      <x:c r="AQ39" s="21" t="n">
        <x:v>1.04</x:v>
      </x:c>
      <x:c r="AR39" s="21" t="n">
        <x:v>1</x:v>
      </x:c>
      <x:c r="AS39" s="21" t="n">
        <x:v>1</x:v>
      </x:c>
      <x:c r="AT39" s="21" t="n">
        <x:v>1</x:v>
      </x:c>
      <x:c r="AU39" s="21" t="n">
        <x:v>0</x:v>
      </x:c>
      <x:c r="AV39" s="22" t="n">
        <x:f>IF(C39="QB",N39*0.04+O39*4-P39*2+R39*0.1+S39*6,IF(OR(C39="RB",C39="WR",C39="TE"),U39*0.1+V39*6+R39*0.1+S39*6+X39*0.5+Y39*0.1+Z39*6,IF(C39="K",AC39*3+AD39*4+AE39*5+AF39,IF(C39="DST",AG39+AH39*2+AI39*6+AL39,0))))</x:f>
        <x:v>17.440038866396762</x:v>
      </x:c>
      <x:c r="AW39" s="22" t="n">
        <x:f>(AV39+AU39)*G39</x:f>
        <x:v>17.440038866396762</x:v>
      </x:c>
      <x:c r="AX39" s="22" t="n">
        <x:f>MAX(0,AW39*IF(C39="QB",0.68,IF(C39="RB",0.58,IF(C39="WR",0.52,IF(C39="TE",0.50,IF(C39="K",0.55,0.40))))))</x:f>
        <x:v>10.115222542510121</x:v>
      </x:c>
      <x:c r="AY39" s="22" t="n">
        <x:f>AW39*IF(C39="QB",1.32,IF(C39="RB",1.45,IF(C39="WR",1.55,IF(C39="TE",1.60,IF(C39="K",1.45,1.65)))))</x:f>
        <x:v>25.288056356275305</x:v>
      </x:c>
      <x:c r="AZ39" s="12" t="str">
        <x:v>High</x:v>
      </x:c>
      <x:c r="BA39" s="12" t="n">
        <x:v>1</x:v>
      </x:c>
      <x:c r="BB39" s="12" t="n">
        <x:f>COUNTIFS($C$2:$C$344,C39,$AW$2:$AW$344,"&gt;"&amp;AW39,$G$2:$G$344,"&gt;0")+COUNTIFS($C$2:C39,C39,$AW$2:AW39,AW39,$G$2:G39,"&gt;0")</x:f>
        <x:v>3</x:v>
      </x:c>
      <x:c r="BC39" s="12" t="n">
        <x:v>3</x:v>
      </x:c>
      <x:c r="BD39" s="12" t="str">
        <x:f>IF(BB39&lt;BC39,"↑",IF(BB39&gt;BC39,"↓","→"))</x:f>
        <x:v>→</x:v>
      </x:c>
      <x:c r="BE39" s="23" t="str">
        <x:v>Fantasy Football Brief ROS baseline; official NFL schedule</x:v>
      </x:c>
      <x:c r="BF39" s="23" t="str">
        <x:v>Current role and availability baseline; all adjustment factors shown numerically</x:v>
      </x:c>
      <x:c r="BG39" s="23" t="str">
        <x:v>Material injury, depth-chart, or role change</x:v>
      </x:c>
      <x:c r="BH39" s="24" t="str">
        <x:v>2026-09-23 10:35 CT</x:v>
      </x:c>
    </x:row>
    <x:row r="40">
      <x:c r="A40" s="12" t="str">
        <x:v>Christian McCaffrey</x:v>
      </x:c>
      <x:c r="B40" s="12" t="str">
        <x:v>SF</x:v>
      </x:c>
      <x:c r="C40" s="12" t="str">
        <x:v>RB</x:v>
      </x:c>
      <x:c r="D40" s="12" t="str">
        <x:v>ARI</x:v>
      </x:c>
      <x:c r="E40" s="12" t="str">
        <x:v>Home</x:v>
      </x:c>
      <x:c r="F40" s="12" t="str">
        <x:v>2026-09-27</x:v>
      </x:c>
      <x:c r="G40" s="19" t="n">
        <x:v>1</x:v>
      </x:c>
      <x:c r="H40" s="20" t="str">
        <x:v>ACTIVE</x:v>
      </x:c>
      <x:c r="I40" s="20" t="n">
        <x:v>36</x:v>
      </x:c>
      <x:c r="J40" s="20" t="str">
        <x:v>Opportunities</x:v>
      </x:c>
      <x:c r="K40" s="20" t="n">
        <x:v>22.578947368421055</x:v>
      </x:c>
      <x:c r="L40" s="21" t="n">
        <x:v>0</x:v>
      </x:c>
      <x:c r="M40" s="21" t="n">
        <x:v>0</x:v>
      </x:c>
      <x:c r="N40" s="21" t="n">
        <x:v>0</x:v>
      </x:c>
      <x:c r="O40" s="21" t="n">
        <x:v>0</x:v>
      </x:c>
      <x:c r="P40" s="21" t="n">
        <x:v>0</x:v>
      </x:c>
      <x:c r="Q40" s="21" t="n">
        <x:v>0</x:v>
      </x:c>
      <x:c r="R40" s="21" t="n">
        <x:v>0</x:v>
      </x:c>
      <x:c r="S40" s="21" t="n">
        <x:v>0</x:v>
      </x:c>
      <x:c r="T40" s="21" t="n">
        <x:v>17.789473684210527</x:v>
      </x:c>
      <x:c r="U40" s="21" t="n">
        <x:v>80.9557894736842</x:v>
      </x:c>
      <x:c r="V40" s="21" t="n">
        <x:v>0.5583157894736842</x:v>
      </x:c>
      <x:c r="W40" s="21" t="n">
        <x:v>4.7894736842105265</x:v>
      </x:c>
      <x:c r="X40" s="21" t="n">
        <x:v>3.6947368421052635</x:v>
      </x:c>
      <x:c r="Y40" s="21" t="n">
        <x:v>30.70736842105263</x:v>
      </x:c>
      <x:c r="Z40" s="21" t="n">
        <x:v>0.13957894736842105</x:v>
      </x:c>
      <x:c r="AA40" s="21" t="n">
        <x:v>0</x:v>
      </x:c>
      <x:c r="AB40" s="21" t="n">
        <x:v>0</x:v>
      </x:c>
      <x:c r="AC40" s="21" t="n">
        <x:v>0</x:v>
      </x:c>
      <x:c r="AD40" s="21" t="n">
        <x:v>0</x:v>
      </x:c>
      <x:c r="AE40" s="21" t="n">
        <x:v>0</x:v>
      </x:c>
      <x:c r="AF40" s="21" t="n">
        <x:v>0</x:v>
      </x:c>
      <x:c r="AG40" s="21" t="n">
        <x:v>0</x:v>
      </x:c>
      <x:c r="AH40" s="21" t="n">
        <x:v>0</x:v>
      </x:c>
      <x:c r="AI40" s="21" t="n">
        <x:v>0</x:v>
      </x:c>
      <x:c r="AJ40" s="21" t="n">
        <x:v>0</x:v>
      </x:c>
      <x:c r="AK40" s="21" t="n">
        <x:v>0</x:v>
      </x:c>
      <x:c r="AL40" s="21" t="n">
        <x:v>0</x:v>
      </x:c>
      <x:c r="AM40" s="21" t="n">
        <x:v>1</x:v>
      </x:c>
      <x:c r="AN40" s="21" t="n">
        <x:v>1</x:v>
      </x:c>
      <x:c r="AO40" s="21" t="n">
        <x:v>1</x:v>
      </x:c>
      <x:c r="AP40" s="21" t="n">
        <x:v>1.02</x:v>
      </x:c>
      <x:c r="AQ40" s="21" t="n">
        <x:v>1</x:v>
      </x:c>
      <x:c r="AR40" s="21" t="n">
        <x:v>1</x:v>
      </x:c>
      <x:c r="AS40" s="21" t="n">
        <x:v>1</x:v>
      </x:c>
      <x:c r="AT40" s="21" t="n">
        <x:v>1</x:v>
      </x:c>
      <x:c r="AU40" s="21" t="n">
        <x:v>0</x:v>
      </x:c>
      <x:c r="AV40" s="22" t="n">
        <x:f>IF(C40="QB",N40*0.04+O40*4-P40*2+R40*0.1+S40*6,IF(OR(C40="RB",C40="WR",C40="TE"),U40*0.1+V40*6+R40*0.1+S40*6+X40*0.5+Y40*0.1+Z40*6,IF(C40="K",AC40*3+AD40*4+AE40*5+AF40,IF(C40="DST",AG40+AH40*2+AI40*6+AL40,0))))</x:f>
        <x:v>17.201052631578946</x:v>
      </x:c>
      <x:c r="AW40" s="22" t="n">
        <x:f>(AV40+AU40)*G40</x:f>
        <x:v>17.201052631578946</x:v>
      </x:c>
      <x:c r="AX40" s="22" t="n">
        <x:f>MAX(0,AW40*IF(C40="QB",0.68,IF(C40="RB",0.58,IF(C40="WR",0.52,IF(C40="TE",0.50,IF(C40="K",0.55,0.40))))))</x:f>
        <x:v>9.976610526315788</x:v>
      </x:c>
      <x:c r="AY40" s="22" t="n">
        <x:f>AW40*IF(C40="QB",1.32,IF(C40="RB",1.45,IF(C40="WR",1.55,IF(C40="TE",1.60,IF(C40="K",1.45,1.65)))))</x:f>
        <x:v>24.94152631578947</x:v>
      </x:c>
      <x:c r="AZ40" s="12" t="str">
        <x:v>High</x:v>
      </x:c>
      <x:c r="BA40" s="12" t="n">
        <x:v>1</x:v>
      </x:c>
      <x:c r="BB40" s="12" t="n">
        <x:f>COUNTIFS($C$2:$C$344,C40,$AW$2:$AW$344,"&gt;"&amp;AW40,$G$2:$G$344,"&gt;0")+COUNTIFS($C$2:C40,C40,$AW$2:AW40,AW40,$G$2:G40,"&gt;0")</x:f>
        <x:v>4</x:v>
      </x:c>
      <x:c r="BC40" s="12" t="n">
        <x:v>4</x:v>
      </x:c>
      <x:c r="BD40" s="12" t="str">
        <x:f>IF(BB40&lt;BC40,"↑",IF(BB40&gt;BC40,"↓","→"))</x:f>
        <x:v>→</x:v>
      </x:c>
      <x:c r="BE40" s="23" t="str">
        <x:v>Fantasy Football Brief ROS baseline; official NFL schedule</x:v>
      </x:c>
      <x:c r="BF40" s="23" t="str">
        <x:v>Current role and availability baseline; all adjustment factors shown numerically</x:v>
      </x:c>
      <x:c r="BG40" s="23" t="str">
        <x:v>Material injury, depth-chart, or role change</x:v>
      </x:c>
      <x:c r="BH40" s="24" t="str">
        <x:v>2026-09-23 10:35 CT</x:v>
      </x:c>
    </x:row>
    <x:row r="41">
      <x:c r="A41" s="12" t="str">
        <x:v>Jonathan Taylor</x:v>
      </x:c>
      <x:c r="B41" s="12" t="str">
        <x:v>IND</x:v>
      </x:c>
      <x:c r="C41" s="12" t="str">
        <x:v>RB</x:v>
      </x:c>
      <x:c r="D41" s="12" t="str">
        <x:v>HOU</x:v>
      </x:c>
      <x:c r="E41" s="12" t="str">
        <x:v>Home</x:v>
      </x:c>
      <x:c r="F41" s="12" t="str">
        <x:v>2026-09-27</x:v>
      </x:c>
      <x:c r="G41" s="19" t="n">
        <x:v>1</x:v>
      </x:c>
      <x:c r="H41" s="20" t="str">
        <x:v>ACTIVE</x:v>
      </x:c>
      <x:c r="I41" s="20" t="n">
        <x:v>36</x:v>
      </x:c>
      <x:c r="J41" s="20" t="str">
        <x:v>Opportunities</x:v>
      </x:c>
      <x:c r="K41" s="20" t="n">
        <x:v>22.44534412955466</x:v>
      </x:c>
      <x:c r="L41" s="21" t="n">
        <x:v>0</x:v>
      </x:c>
      <x:c r="M41" s="21" t="n">
        <x:v>0</x:v>
      </x:c>
      <x:c r="N41" s="21" t="n">
        <x:v>0</x:v>
      </x:c>
      <x:c r="O41" s="21" t="n">
        <x:v>0</x:v>
      </x:c>
      <x:c r="P41" s="21" t="n">
        <x:v>0</x:v>
      </x:c>
      <x:c r="Q41" s="21" t="n">
        <x:v>0</x:v>
      </x:c>
      <x:c r="R41" s="21" t="n">
        <x:v>0</x:v>
      </x:c>
      <x:c r="S41" s="21" t="n">
        <x:v>0</x:v>
      </x:c>
      <x:c r="T41" s="21" t="n">
        <x:v>17.68421052631579</x:v>
      </x:c>
      <x:c r="U41" s="21" t="n">
        <x:v>75.74283400809718</x:v>
      </x:c>
      <x:c r="V41" s="21" t="n">
        <x:v>0.5223643724696357</x:v>
      </x:c>
      <x:c r="W41" s="21" t="n">
        <x:v>4.761133603238867</x:v>
      </x:c>
      <x:c r="X41" s="21" t="n">
        <x:v>3.672874493927126</x:v>
      </x:c>
      <x:c r="Y41" s="21" t="n">
        <x:v>28.730040485829964</x:v>
      </x:c>
      <x:c r="Z41" s="21" t="n">
        <x:v>0.13059109311740894</x:v>
      </x:c>
      <x:c r="AA41" s="21" t="n">
        <x:v>0</x:v>
      </x:c>
      <x:c r="AB41" s="21" t="n">
        <x:v>0</x:v>
      </x:c>
      <x:c r="AC41" s="21" t="n">
        <x:v>0</x:v>
      </x:c>
      <x:c r="AD41" s="21" t="n">
        <x:v>0</x:v>
      </x:c>
      <x:c r="AE41" s="21" t="n">
        <x:v>0</x:v>
      </x:c>
      <x:c r="AF41" s="21" t="n">
        <x:v>0</x:v>
      </x:c>
      <x:c r="AG41" s="21" t="n">
        <x:v>0</x:v>
      </x:c>
      <x:c r="AH41" s="21" t="n">
        <x:v>0</x:v>
      </x:c>
      <x:c r="AI41" s="21" t="n">
        <x:v>0</x:v>
      </x:c>
      <x:c r="AJ41" s="21" t="n">
        <x:v>0</x:v>
      </x:c>
      <x:c r="AK41" s="21" t="n">
        <x:v>0</x:v>
      </x:c>
      <x:c r="AL41" s="21" t="n">
        <x:v>0</x:v>
      </x:c>
      <x:c r="AM41" s="21" t="n">
        <x:v>1</x:v>
      </x:c>
      <x:c r="AN41" s="21" t="n">
        <x:v>1</x:v>
      </x:c>
      <x:c r="AO41" s="21" t="n">
        <x:v>1</x:v>
      </x:c>
      <x:c r="AP41" s="21" t="n">
        <x:v>1</x:v>
      </x:c>
      <x:c r="AQ41" s="21" t="n">
        <x:v>0.96</x:v>
      </x:c>
      <x:c r="AR41" s="21" t="n">
        <x:v>1</x:v>
      </x:c>
      <x:c r="AS41" s="21" t="n">
        <x:v>1</x:v>
      </x:c>
      <x:c r="AT41" s="21" t="n">
        <x:v>1</x:v>
      </x:c>
      <x:c r="AU41" s="21" t="n">
        <x:v>0</x:v>
      </x:c>
      <x:c r="AV41" s="22" t="n">
        <x:f>IF(C41="QB",N41*0.04+O41*4-P41*2+R41*0.1+S41*6,IF(OR(C41="RB",C41="WR",C41="TE"),U41*0.1+V41*6+R41*0.1+S41*6+X41*0.5+Y41*0.1+Z41*6,IF(C41="K",AC41*3+AD41*4+AE41*5+AF41,IF(C41="DST",AG41+AH41*2+AI41*6+AL41,0))))</x:f>
        <x:v>16.201457489878546</x:v>
      </x:c>
      <x:c r="AW41" s="22" t="n">
        <x:f>(AV41+AU41)*G41</x:f>
        <x:v>16.201457489878546</x:v>
      </x:c>
      <x:c r="AX41" s="22" t="n">
        <x:f>MAX(0,AW41*IF(C41="QB",0.68,IF(C41="RB",0.58,IF(C41="WR",0.52,IF(C41="TE",0.50,IF(C41="K",0.55,0.40))))))</x:f>
        <x:v>9.396845344129556</x:v>
      </x:c>
      <x:c r="AY41" s="22" t="n">
        <x:f>AW41*IF(C41="QB",1.32,IF(C41="RB",1.45,IF(C41="WR",1.55,IF(C41="TE",1.60,IF(C41="K",1.45,1.65)))))</x:f>
        <x:v>23.49211336032389</x:v>
      </x:c>
      <x:c r="AZ41" s="12" t="str">
        <x:v>High</x:v>
      </x:c>
      <x:c r="BA41" s="12" t="n">
        <x:v>1</x:v>
      </x:c>
      <x:c r="BB41" s="12" t="n">
        <x:f>COUNTIFS($C$2:$C$344,C41,$AW$2:$AW$344,"&gt;"&amp;AW41,$G$2:$G$344,"&gt;0")+COUNTIFS($C$2:C41,C41,$AW$2:AW41,AW41,$G$2:G41,"&gt;0")</x:f>
        <x:v>5</x:v>
      </x:c>
      <x:c r="BC41" s="12" t="n">
        <x:v>5</x:v>
      </x:c>
      <x:c r="BD41" s="12" t="str">
        <x:f>IF(BB41&lt;BC41,"↑",IF(BB41&gt;BC41,"↓","→"))</x:f>
        <x:v>→</x:v>
      </x:c>
      <x:c r="BE41" s="23" t="str">
        <x:v>Fantasy Football Brief ROS baseline; official NFL schedule</x:v>
      </x:c>
      <x:c r="BF41" s="23" t="str">
        <x:v>Current role and availability baseline; all adjustment factors shown numerically</x:v>
      </x:c>
      <x:c r="BG41" s="23" t="str">
        <x:v>Material injury, depth-chart, or role change</x:v>
      </x:c>
      <x:c r="BH41" s="24" t="str">
        <x:v>2026-09-23 10:35 CT</x:v>
      </x:c>
    </x:row>
    <x:row r="42">
      <x:c r="A42" s="12" t="str">
        <x:v>Derrick Henry</x:v>
      </x:c>
      <x:c r="B42" s="12" t="str">
        <x:v>BAL</x:v>
      </x:c>
      <x:c r="C42" s="12" t="str">
        <x:v>RB</x:v>
      </x:c>
      <x:c r="D42" s="12" t="str">
        <x:v>DAL</x:v>
      </x:c>
      <x:c r="E42" s="12" t="str">
        <x:v>Away</x:v>
      </x:c>
      <x:c r="F42" s="12" t="str">
        <x:v>2026-09-27</x:v>
      </x:c>
      <x:c r="G42" s="19" t="n">
        <x:v>1</x:v>
      </x:c>
      <x:c r="H42" s="20" t="str">
        <x:v>ACTIVE</x:v>
      </x:c>
      <x:c r="I42" s="20" t="n">
        <x:v>36</x:v>
      </x:c>
      <x:c r="J42" s="20" t="str">
        <x:v>Opportunities</x:v>
      </x:c>
      <x:c r="K42" s="20" t="n">
        <x:v>20.17408906882591</x:v>
      </x:c>
      <x:c r="L42" s="21" t="n">
        <x:v>0</x:v>
      </x:c>
      <x:c r="M42" s="21" t="n">
        <x:v>0</x:v>
      </x:c>
      <x:c r="N42" s="21" t="n">
        <x:v>0</x:v>
      </x:c>
      <x:c r="O42" s="21" t="n">
        <x:v>0</x:v>
      </x:c>
      <x:c r="P42" s="21" t="n">
        <x:v>0</x:v>
      </x:c>
      <x:c r="Q42" s="21" t="n">
        <x:v>0</x:v>
      </x:c>
      <x:c r="R42" s="21" t="n">
        <x:v>0</x:v>
      </x:c>
      <x:c r="S42" s="21" t="n">
        <x:v>0</x:v>
      </x:c>
      <x:c r="T42" s="21" t="n">
        <x:v>15.894736842105264</x:v>
      </x:c>
      <x:c r="U42" s="21" t="n">
        <x:v>76.70164210526316</x:v>
      </x:c>
      <x:c r="V42" s="21" t="n">
        <x:v>0.5289768421052633</x:v>
      </x:c>
      <x:c r="W42" s="21" t="n">
        <x:v>4.279352226720648</x:v>
      </x:c>
      <x:c r="X42" s="21" t="n">
        <x:v>3.301214574898786</x:v>
      </x:c>
      <x:c r="Y42" s="21" t="n">
        <x:v>29.093726315789475</x:v>
      </x:c>
      <x:c r="Z42" s="21" t="n">
        <x:v>0.13224421052631583</x:v>
      </x:c>
      <x:c r="AA42" s="21" t="n">
        <x:v>0</x:v>
      </x:c>
      <x:c r="AB42" s="21" t="n">
        <x:v>0</x:v>
      </x:c>
      <x:c r="AC42" s="21" t="n">
        <x:v>0</x:v>
      </x:c>
      <x:c r="AD42" s="21" t="n">
        <x:v>0</x:v>
      </x:c>
      <x:c r="AE42" s="21" t="n">
        <x:v>0</x:v>
      </x:c>
      <x:c r="AF42" s="21" t="n">
        <x:v>0</x:v>
      </x:c>
      <x:c r="AG42" s="21" t="n">
        <x:v>0</x:v>
      </x:c>
      <x:c r="AH42" s="21" t="n">
        <x:v>0</x:v>
      </x:c>
      <x:c r="AI42" s="21" t="n">
        <x:v>0</x:v>
      </x:c>
      <x:c r="AJ42" s="21" t="n">
        <x:v>0</x:v>
      </x:c>
      <x:c r="AK42" s="21" t="n">
        <x:v>0</x:v>
      </x:c>
      <x:c r="AL42" s="21" t="n">
        <x:v>0</x:v>
      </x:c>
      <x:c r="AM42" s="21" t="n">
        <x:v>1</x:v>
      </x:c>
      <x:c r="AN42" s="21" t="n">
        <x:v>1</x:v>
      </x:c>
      <x:c r="AO42" s="21" t="n">
        <x:v>1</x:v>
      </x:c>
      <x:c r="AP42" s="21" t="n">
        <x:v>1.04</x:v>
      </x:c>
      <x:c r="AQ42" s="21" t="n">
        <x:v>1.04</x:v>
      </x:c>
      <x:c r="AR42" s="21" t="n">
        <x:v>1</x:v>
      </x:c>
      <x:c r="AS42" s="21" t="n">
        <x:v>1</x:v>
      </x:c>
      <x:c r="AT42" s="21" t="n">
        <x:v>1</x:v>
      </x:c>
      <x:c r="AU42" s="21" t="n">
        <x:v>0</x:v>
      </x:c>
      <x:c r="AV42" s="22" t="n">
        <x:f>IF(C42="QB",N42*0.04+O42*4-P42*2+R42*0.1+S42*6,IF(OR(C42="RB",C42="WR",C42="TE"),U42*0.1+V42*6+R42*0.1+S42*6+X42*0.5+Y42*0.1+Z42*6,IF(C42="K",AC42*3+AD42*4+AE42*5+AF42,IF(C42="DST",AG42+AH42*2+AI42*6+AL42,0))))</x:f>
        <x:v>16.19747044534413</x:v>
      </x:c>
      <x:c r="AW42" s="22" t="n">
        <x:f>(AV42+AU42)*G42</x:f>
        <x:v>16.19747044534413</x:v>
      </x:c>
      <x:c r="AX42" s="22" t="n">
        <x:f>MAX(0,AW42*IF(C42="QB",0.68,IF(C42="RB",0.58,IF(C42="WR",0.52,IF(C42="TE",0.50,IF(C42="K",0.55,0.40))))))</x:f>
        <x:v>9.394532858299595</x:v>
      </x:c>
      <x:c r="AY42" s="22" t="n">
        <x:f>AW42*IF(C42="QB",1.32,IF(C42="RB",1.45,IF(C42="WR",1.55,IF(C42="TE",1.60,IF(C42="K",1.45,1.65)))))</x:f>
        <x:v>23.48633214574899</x:v>
      </x:c>
      <x:c r="AZ42" s="12" t="str">
        <x:v>High</x:v>
      </x:c>
      <x:c r="BA42" s="12" t="n">
        <x:v>1</x:v>
      </x:c>
      <x:c r="BB42" s="12" t="n">
        <x:f>COUNTIFS($C$2:$C$344,C42,$AW$2:$AW$344,"&gt;"&amp;AW42,$G$2:$G$344,"&gt;0")+COUNTIFS($C$2:C42,C42,$AW$2:AW42,AW42,$G$2:G42,"&gt;0")</x:f>
        <x:v>6</x:v>
      </x:c>
      <x:c r="BC42" s="12" t="n">
        <x:v>6</x:v>
      </x:c>
      <x:c r="BD42" s="12" t="str">
        <x:f>IF(BB42&lt;BC42,"↑",IF(BB42&gt;BC42,"↓","→"))</x:f>
        <x:v>→</x:v>
      </x:c>
      <x:c r="BE42" s="23" t="str">
        <x:v>Fantasy Football Brief ROS baseline; official NFL schedule</x:v>
      </x:c>
      <x:c r="BF42" s="23" t="str">
        <x:v>Current role and availability baseline; all adjustment factors shown numerically</x:v>
      </x:c>
      <x:c r="BG42" s="23" t="str">
        <x:v>Material injury, depth-chart, or role change</x:v>
      </x:c>
      <x:c r="BH42" s="24" t="str">
        <x:v>2026-09-23 10:35 CT</x:v>
      </x:c>
    </x:row>
    <x:row r="43">
      <x:c r="A43" s="12" t="str">
        <x:v>James Cook</x:v>
      </x:c>
      <x:c r="B43" s="12" t="str">
        <x:v>BUF</x:v>
      </x:c>
      <x:c r="C43" s="12" t="str">
        <x:v>RB</x:v>
      </x:c>
      <x:c r="D43" s="12" t="str">
        <x:v>LAC</x:v>
      </x:c>
      <x:c r="E43" s="12" t="str">
        <x:v>Home</x:v>
      </x:c>
      <x:c r="F43" s="12" t="str">
        <x:v>2026-09-27</x:v>
      </x:c>
      <x:c r="G43" s="19" t="n">
        <x:v>1</x:v>
      </x:c>
      <x:c r="H43" s="20" t="str">
        <x:v>ACTIVE</x:v>
      </x:c>
      <x:c r="I43" s="20" t="n">
        <x:v>36</x:v>
      </x:c>
      <x:c r="J43" s="20" t="str">
        <x:v>Opportunities</x:v>
      </x:c>
      <x:c r="K43" s="20" t="n">
        <x:v>20.040485829959515</x:v>
      </x:c>
      <x:c r="L43" s="21" t="n">
        <x:v>0</x:v>
      </x:c>
      <x:c r="M43" s="21" t="n">
        <x:v>0</x:v>
      </x:c>
      <x:c r="N43" s="21" t="n">
        <x:v>0</x:v>
      </x:c>
      <x:c r="O43" s="21" t="n">
        <x:v>0</x:v>
      </x:c>
      <x:c r="P43" s="21" t="n">
        <x:v>0</x:v>
      </x:c>
      <x:c r="Q43" s="21" t="n">
        <x:v>0</x:v>
      </x:c>
      <x:c r="R43" s="21" t="n">
        <x:v>0</x:v>
      </x:c>
      <x:c r="S43" s="21" t="n">
        <x:v>0</x:v>
      </x:c>
      <x:c r="T43" s="21" t="n">
        <x:v>15.789473684210527</x:v>
      </x:c>
      <x:c r="U43" s="21" t="n">
        <x:v>73.26315789473686</x:v>
      </x:c>
      <x:c r="V43" s="21" t="n">
        <x:v>0.505263157894737</x:v>
      </x:c>
      <x:c r="W43" s="21" t="n">
        <x:v>4.251012145748988</x:v>
      </x:c>
      <x:c r="X43" s="21" t="n">
        <x:v>3.2793522267206483</x:v>
      </x:c>
      <x:c r="Y43" s="21" t="n">
        <x:v>27.78947368421053</x:v>
      </x:c>
      <x:c r="Z43" s="21" t="n">
        <x:v>0.12631578947368424</x:v>
      </x:c>
      <x:c r="AA43" s="21" t="n">
        <x:v>0</x:v>
      </x:c>
      <x:c r="AB43" s="21" t="n">
        <x:v>0</x:v>
      </x:c>
      <x:c r="AC43" s="21" t="n">
        <x:v>0</x:v>
      </x:c>
      <x:c r="AD43" s="21" t="n">
        <x:v>0</x:v>
      </x:c>
      <x:c r="AE43" s="21" t="n">
        <x:v>0</x:v>
      </x:c>
      <x:c r="AF43" s="21" t="n">
        <x:v>0</x:v>
      </x:c>
      <x:c r="AG43" s="21" t="n">
        <x:v>0</x:v>
      </x:c>
      <x:c r="AH43" s="21" t="n">
        <x:v>0</x:v>
      </x:c>
      <x:c r="AI43" s="21" t="n">
        <x:v>0</x:v>
      </x:c>
      <x:c r="AJ43" s="21" t="n">
        <x:v>0</x:v>
      </x:c>
      <x:c r="AK43" s="21" t="n">
        <x:v>0</x:v>
      </x:c>
      <x:c r="AL43" s="21" t="n">
        <x:v>0</x:v>
      </x:c>
      <x:c r="AM43" s="21" t="n">
        <x:v>1</x:v>
      </x:c>
      <x:c r="AN43" s="21" t="n">
        <x:v>1</x:v>
      </x:c>
      <x:c r="AO43" s="21" t="n">
        <x:v>1</x:v>
      </x:c>
      <x:c r="AP43" s="21" t="n">
        <x:v>1.04</x:v>
      </x:c>
      <x:c r="AQ43" s="21" t="n">
        <x:v>1</x:v>
      </x:c>
      <x:c r="AR43" s="21" t="n">
        <x:v>1</x:v>
      </x:c>
      <x:c r="AS43" s="21" t="n">
        <x:v>1</x:v>
      </x:c>
      <x:c r="AT43" s="21" t="n">
        <x:v>1</x:v>
      </x:c>
      <x:c r="AU43" s="21" t="n">
        <x:v>0</x:v>
      </x:c>
      <x:c r="AV43" s="22" t="n">
        <x:f>IF(C43="QB",N43*0.04+O43*4-P43*2+R43*0.1+S43*6,IF(OR(C43="RB",C43="WR",C43="TE"),U43*0.1+V43*6+R43*0.1+S43*6+X43*0.5+Y43*0.1+Z43*6,IF(C43="K",AC43*3+AD43*4+AE43*5+AF43,IF(C43="DST",AG43+AH43*2+AI43*6+AL43,0))))</x:f>
        <x:v>15.534412955465593</x:v>
      </x:c>
      <x:c r="AW43" s="22" t="n">
        <x:f>(AV43+AU43)*G43</x:f>
        <x:v>15.534412955465593</x:v>
      </x:c>
      <x:c r="AX43" s="22" t="n">
        <x:f>MAX(0,AW43*IF(C43="QB",0.68,IF(C43="RB",0.58,IF(C43="WR",0.52,IF(C43="TE",0.50,IF(C43="K",0.55,0.40))))))</x:f>
        <x:v>9.009959514170044</x:v>
      </x:c>
      <x:c r="AY43" s="22" t="n">
        <x:f>AW43*IF(C43="QB",1.32,IF(C43="RB",1.45,IF(C43="WR",1.55,IF(C43="TE",1.60,IF(C43="K",1.45,1.65)))))</x:f>
        <x:v>22.52489878542511</x:v>
      </x:c>
      <x:c r="AZ43" s="12" t="str">
        <x:v>High</x:v>
      </x:c>
      <x:c r="BA43" s="12" t="n">
        <x:v>1</x:v>
      </x:c>
      <x:c r="BB43" s="12" t="n">
        <x:f>COUNTIFS($C$2:$C$344,C43,$AW$2:$AW$344,"&gt;"&amp;AW43,$G$2:$G$344,"&gt;0")+COUNTIFS($C$2:C43,C43,$AW$2:AW43,AW43,$G$2:G43,"&gt;0")</x:f>
        <x:v>7</x:v>
      </x:c>
      <x:c r="BC43" s="12" t="n">
        <x:v>7</x:v>
      </x:c>
      <x:c r="BD43" s="12" t="str">
        <x:f>IF(BB43&lt;BC43,"↑",IF(BB43&gt;BC43,"↓","→"))</x:f>
        <x:v>→</x:v>
      </x:c>
      <x:c r="BE43" s="23" t="str">
        <x:v>Fantasy Football Brief ROS baseline; official NFL schedule</x:v>
      </x:c>
      <x:c r="BF43" s="23" t="str">
        <x:v>Current role and availability baseline; all adjustment factors shown numerically</x:v>
      </x:c>
      <x:c r="BG43" s="23" t="str">
        <x:v>Material injury, depth-chart, or role change</x:v>
      </x:c>
      <x:c r="BH43" s="24" t="str">
        <x:v>2026-09-23 10:35 CT</x:v>
      </x:c>
    </x:row>
    <x:row r="44">
      <x:c r="A44" s="12" t="str">
        <x:v>Ashton Jeanty</x:v>
      </x:c>
      <x:c r="B44" s="12" t="str">
        <x:v>LV</x:v>
      </x:c>
      <x:c r="C44" s="12" t="str">
        <x:v>RB</x:v>
      </x:c>
      <x:c r="D44" s="12" t="str">
        <x:v>NO</x:v>
      </x:c>
      <x:c r="E44" s="12" t="str">
        <x:v>Away</x:v>
      </x:c>
      <x:c r="F44" s="12" t="str">
        <x:v>2026-09-27</x:v>
      </x:c>
      <x:c r="G44" s="19" t="n">
        <x:v>1</x:v>
      </x:c>
      <x:c r="H44" s="20" t="str">
        <x:v>ACTIVE</x:v>
      </x:c>
      <x:c r="I44" s="20" t="n">
        <x:v>36</x:v>
      </x:c>
      <x:c r="J44" s="20" t="str">
        <x:v>Opportunities</x:v>
      </x:c>
      <x:c r="K44" s="20" t="n">
        <x:v>20.441295546558706</x:v>
      </x:c>
      <x:c r="L44" s="21" t="n">
        <x:v>0</x:v>
      </x:c>
      <x:c r="M44" s="21" t="n">
        <x:v>0</x:v>
      </x:c>
      <x:c r="N44" s="21" t="n">
        <x:v>0</x:v>
      </x:c>
      <x:c r="O44" s="21" t="n">
        <x:v>0</x:v>
      </x:c>
      <x:c r="P44" s="21" t="n">
        <x:v>0</x:v>
      </x:c>
      <x:c r="Q44" s="21" t="n">
        <x:v>0</x:v>
      </x:c>
      <x:c r="R44" s="21" t="n">
        <x:v>0</x:v>
      </x:c>
      <x:c r="S44" s="21" t="n">
        <x:v>0</x:v>
      </x:c>
      <x:c r="T44" s="21" t="n">
        <x:v>16.10526315789474</x:v>
      </x:c>
      <x:c r="U44" s="21" t="n">
        <x:v>72.52968097165993</x:v>
      </x:c>
      <x:c r="V44" s="21" t="n">
        <x:v>0.5002046963562754</x:v>
      </x:c>
      <x:c r="W44" s="21" t="n">
        <x:v>4.336032388663968</x:v>
      </x:c>
      <x:c r="X44" s="21" t="n">
        <x:v>3.344939271255061</x:v>
      </x:c>
      <x:c r="Y44" s="21" t="n">
        <x:v>27.51125829959515</x:v>
      </x:c>
      <x:c r="Z44" s="21" t="n">
        <x:v>0.12505117408906885</x:v>
      </x:c>
      <x:c r="AA44" s="21" t="n">
        <x:v>0</x:v>
      </x:c>
      <x:c r="AB44" s="21" t="n">
        <x:v>0</x:v>
      </x:c>
      <x:c r="AC44" s="21" t="n">
        <x:v>0</x:v>
      </x:c>
      <x:c r="AD44" s="21" t="n">
        <x:v>0</x:v>
      </x:c>
      <x:c r="AE44" s="21" t="n">
        <x:v>0</x:v>
      </x:c>
      <x:c r="AF44" s="21" t="n">
        <x:v>0</x:v>
      </x:c>
      <x:c r="AG44" s="21" t="n">
        <x:v>0</x:v>
      </x:c>
      <x:c r="AH44" s="21" t="n">
        <x:v>0</x:v>
      </x:c>
      <x:c r="AI44" s="21" t="n">
        <x:v>0</x:v>
      </x:c>
      <x:c r="AJ44" s="21" t="n">
        <x:v>0</x:v>
      </x:c>
      <x:c r="AK44" s="21" t="n">
        <x:v>0</x:v>
      </x:c>
      <x:c r="AL44" s="21" t="n">
        <x:v>0</x:v>
      </x:c>
      <x:c r="AM44" s="21" t="n">
        <x:v>1</x:v>
      </x:c>
      <x:c r="AN44" s="21" t="n">
        <x:v>1</x:v>
      </x:c>
      <x:c r="AO44" s="21" t="n">
        <x:v>1</x:v>
      </x:c>
      <x:c r="AP44" s="21" t="n">
        <x:v>0.98</x:v>
      </x:c>
      <x:c r="AQ44" s="21" t="n">
        <x:v>1.03</x:v>
      </x:c>
      <x:c r="AR44" s="21" t="n">
        <x:v>1</x:v>
      </x:c>
      <x:c r="AS44" s="21" t="n">
        <x:v>1</x:v>
      </x:c>
      <x:c r="AT44" s="21" t="n">
        <x:v>1</x:v>
      </x:c>
      <x:c r="AU44" s="21" t="n">
        <x:v>0</x:v>
      </x:c>
      <x:c r="AV44" s="22" t="n">
        <x:f>IF(C44="QB",N44*0.04+O44*4-P44*2+R44*0.1+S44*6,IF(OR(C44="RB",C44="WR",C44="TE"),U44*0.1+V44*6+R44*0.1+S44*6+X44*0.5+Y44*0.1+Z44*6,IF(C44="K",AC44*3+AD44*4+AE44*5+AF44,IF(C44="DST",AG44+AH44*2+AI44*6+AL44,0))))</x:f>
        <x:v>15.428098785425103</x:v>
      </x:c>
      <x:c r="AW44" s="22" t="n">
        <x:f>(AV44+AU44)*G44</x:f>
        <x:v>15.428098785425103</x:v>
      </x:c>
      <x:c r="AX44" s="22" t="n">
        <x:f>MAX(0,AW44*IF(C44="QB",0.68,IF(C44="RB",0.58,IF(C44="WR",0.52,IF(C44="TE",0.50,IF(C44="K",0.55,0.40))))))</x:f>
        <x:v>8.94829729554656</x:v>
      </x:c>
      <x:c r="AY44" s="22" t="n">
        <x:f>AW44*IF(C44="QB",1.32,IF(C44="RB",1.45,IF(C44="WR",1.55,IF(C44="TE",1.60,IF(C44="K",1.45,1.65)))))</x:f>
        <x:v>22.3707432388664</x:v>
      </x:c>
      <x:c r="AZ44" s="12" t="str">
        <x:v>High</x:v>
      </x:c>
      <x:c r="BA44" s="12" t="n">
        <x:v>1</x:v>
      </x:c>
      <x:c r="BB44" s="12" t="n">
        <x:f>COUNTIFS($C$2:$C$344,C44,$AW$2:$AW$344,"&gt;"&amp;AW44,$G$2:$G$344,"&gt;0")+COUNTIFS($C$2:C44,C44,$AW$2:AW44,AW44,$G$2:G44,"&gt;0")</x:f>
        <x:v>8</x:v>
      </x:c>
      <x:c r="BC44" s="12" t="n">
        <x:v>8</x:v>
      </x:c>
      <x:c r="BD44" s="12" t="str">
        <x:f>IF(BB44&lt;BC44,"↑",IF(BB44&gt;BC44,"↓","→"))</x:f>
        <x:v>→</x:v>
      </x:c>
      <x:c r="BE44" s="23" t="str">
        <x:v>Fantasy Football Brief ROS baseline; official NFL schedule</x:v>
      </x:c>
      <x:c r="BF44" s="23" t="str">
        <x:v>Current role and availability baseline; all adjustment factors shown numerically</x:v>
      </x:c>
      <x:c r="BG44" s="23" t="str">
        <x:v>Material injury, depth-chart, or role change</x:v>
      </x:c>
      <x:c r="BH44" s="24" t="str">
        <x:v>2026-09-23 10:35 CT</x:v>
      </x:c>
    </x:row>
    <x:row r="45">
      <x:c r="A45" s="12" t="str">
        <x:v>Saquon Barkley</x:v>
      </x:c>
      <x:c r="B45" s="12" t="str">
        <x:v>PHI</x:v>
      </x:c>
      <x:c r="C45" s="12" t="str">
        <x:v>RB</x:v>
      </x:c>
      <x:c r="D45" s="12" t="str">
        <x:v>CHI</x:v>
      </x:c>
      <x:c r="E45" s="12" t="str">
        <x:v>Away</x:v>
      </x:c>
      <x:c r="F45" s="12" t="str">
        <x:v>2026-09-28</x:v>
      </x:c>
      <x:c r="G45" s="19" t="n">
        <x:v>1</x:v>
      </x:c>
      <x:c r="H45" s="20" t="str">
        <x:v>ACTIVE</x:v>
      </x:c>
      <x:c r="I45" s="20" t="n">
        <x:v>36</x:v>
      </x:c>
      <x:c r="J45" s="20" t="str">
        <x:v>Opportunities</x:v>
      </x:c>
      <x:c r="K45" s="20" t="n">
        <x:v>18.57085020242915</x:v>
      </x:c>
      <x:c r="L45" s="21" t="n">
        <x:v>0</x:v>
      </x:c>
      <x:c r="M45" s="21" t="n">
        <x:v>0</x:v>
      </x:c>
      <x:c r="N45" s="21" t="n">
        <x:v>0</x:v>
      </x:c>
      <x:c r="O45" s="21" t="n">
        <x:v>0</x:v>
      </x:c>
      <x:c r="P45" s="21" t="n">
        <x:v>0</x:v>
      </x:c>
      <x:c r="Q45" s="21" t="n">
        <x:v>0</x:v>
      </x:c>
      <x:c r="R45" s="21" t="n">
        <x:v>0</x:v>
      </x:c>
      <x:c r="S45" s="21" t="n">
        <x:v>0</x:v>
      </x:c>
      <x:c r="T45" s="21" t="n">
        <x:v>14.631578947368421</x:v>
      </x:c>
      <x:c r="U45" s="21" t="n">
        <x:v>68.58248744939272</x:v>
      </x:c>
      <x:c r="V45" s="21" t="n">
        <x:v>0.47298267206477734</x:v>
      </x:c>
      <x:c r="W45" s="21" t="n">
        <x:v>3.9392712550607287</x:v>
      </x:c>
      <x:c r="X45" s="21" t="n">
        <x:v>3.038866396761134</x:v>
      </x:c>
      <x:c r="Y45" s="21" t="n">
        <x:v>26.014046963562752</x:v>
      </x:c>
      <x:c r="Z45" s="21" t="n">
        <x:v>0.11824566801619434</x:v>
      </x:c>
      <x:c r="AA45" s="21" t="n">
        <x:v>0</x:v>
      </x:c>
      <x:c r="AB45" s="21" t="n">
        <x:v>0</x:v>
      </x:c>
      <x:c r="AC45" s="21" t="n">
        <x:v>0</x:v>
      </x:c>
      <x:c r="AD45" s="21" t="n">
        <x:v>0</x:v>
      </x:c>
      <x:c r="AE45" s="21" t="n">
        <x:v>0</x:v>
      </x:c>
      <x:c r="AF45" s="21" t="n">
        <x:v>0</x:v>
      </x:c>
      <x:c r="AG45" s="21" t="n">
        <x:v>0</x:v>
      </x:c>
      <x:c r="AH45" s="21" t="n">
        <x:v>0</x:v>
      </x:c>
      <x:c r="AI45" s="21" t="n">
        <x:v>0</x:v>
      </x:c>
      <x:c r="AJ45" s="21" t="n">
        <x:v>0</x:v>
      </x:c>
      <x:c r="AK45" s="21" t="n">
        <x:v>0</x:v>
      </x:c>
      <x:c r="AL45" s="21" t="n">
        <x:v>0</x:v>
      </x:c>
      <x:c r="AM45" s="21" t="n">
        <x:v>1</x:v>
      </x:c>
      <x:c r="AN45" s="21" t="n">
        <x:v>1</x:v>
      </x:c>
      <x:c r="AO45" s="21" t="n">
        <x:v>1</x:v>
      </x:c>
      <x:c r="AP45" s="21" t="n">
        <x:v>1.03</x:v>
      </x:c>
      <x:c r="AQ45" s="21" t="n">
        <x:v>1.02</x:v>
      </x:c>
      <x:c r="AR45" s="21" t="n">
        <x:v>1</x:v>
      </x:c>
      <x:c r="AS45" s="21" t="n">
        <x:v>1</x:v>
      </x:c>
      <x:c r="AT45" s="21" t="n">
        <x:v>1</x:v>
      </x:c>
      <x:c r="AU45" s="21" t="n">
        <x:v>0</x:v>
      </x:c>
      <x:c r="AV45" s="22" t="n">
        <x:f>IF(C45="QB",N45*0.04+O45*4-P45*2+R45*0.1+S45*6,IF(OR(C45="RB",C45="WR",C45="TE"),U45*0.1+V45*6+R45*0.1+S45*6+X45*0.5+Y45*0.1+Z45*6,IF(C45="K",AC45*3+AD45*4+AE45*5+AF45,IF(C45="DST",AG45+AH45*2+AI45*6+AL45,0))))</x:f>
        <x:v>14.526456680161944</x:v>
      </x:c>
      <x:c r="AW45" s="22" t="n">
        <x:f>(AV45+AU45)*G45</x:f>
        <x:v>14.526456680161944</x:v>
      </x:c>
      <x:c r="AX45" s="22" t="n">
        <x:f>MAX(0,AW45*IF(C45="QB",0.68,IF(C45="RB",0.58,IF(C45="WR",0.52,IF(C45="TE",0.50,IF(C45="K",0.55,0.40))))))</x:f>
        <x:v>8.425344874493927</x:v>
      </x:c>
      <x:c r="AY45" s="22" t="n">
        <x:f>AW45*IF(C45="QB",1.32,IF(C45="RB",1.45,IF(C45="WR",1.55,IF(C45="TE",1.60,IF(C45="K",1.45,1.65)))))</x:f>
        <x:v>21.06336218623482</x:v>
      </x:c>
      <x:c r="AZ45" s="12" t="str">
        <x:v>High</x:v>
      </x:c>
      <x:c r="BA45" s="12" t="n">
        <x:v>1</x:v>
      </x:c>
      <x:c r="BB45" s="12" t="n">
        <x:f>COUNTIFS($C$2:$C$344,C45,$AW$2:$AW$344,"&gt;"&amp;AW45,$G$2:$G$344,"&gt;0")+COUNTIFS($C$2:C45,C45,$AW$2:AW45,AW45,$G$2:G45,"&gt;0")</x:f>
        <x:v>9</x:v>
      </x:c>
      <x:c r="BC45" s="12" t="n">
        <x:v>9</x:v>
      </x:c>
      <x:c r="BD45" s="12" t="str">
        <x:f>IF(BB45&lt;BC45,"↑",IF(BB45&gt;BC45,"↓","→"))</x:f>
        <x:v>→</x:v>
      </x:c>
      <x:c r="BE45" s="23" t="str">
        <x:v>Fantasy Football Brief ROS baseline; official NFL schedule</x:v>
      </x:c>
      <x:c r="BF45" s="23" t="str">
        <x:v>Current role and availability baseline; all adjustment factors shown numerically</x:v>
      </x:c>
      <x:c r="BG45" s="23" t="str">
        <x:v>Material injury, depth-chart, or role change</x:v>
      </x:c>
      <x:c r="BH45" s="24" t="str">
        <x:v>2026-09-23 10:35 CT</x:v>
      </x:c>
    </x:row>
    <x:row r="46">
      <x:c r="A46" s="12" t="str">
        <x:v>Chase Brown</x:v>
      </x:c>
      <x:c r="B46" s="12" t="str">
        <x:v>CIN</x:v>
      </x:c>
      <x:c r="C46" s="12" t="str">
        <x:v>RB</x:v>
      </x:c>
      <x:c r="D46" s="12" t="str">
        <x:v>PIT</x:v>
      </x:c>
      <x:c r="E46" s="12" t="str">
        <x:v>Away</x:v>
      </x:c>
      <x:c r="F46" s="12" t="str">
        <x:v>2026-09-27</x:v>
      </x:c>
      <x:c r="G46" s="19" t="n">
        <x:v>1</x:v>
      </x:c>
      <x:c r="H46" s="20" t="str">
        <x:v>ACTIVE</x:v>
      </x:c>
      <x:c r="I46" s="20" t="n">
        <x:v>36</x:v>
      </x:c>
      <x:c r="J46" s="20" t="str">
        <x:v>Opportunities</x:v>
      </x:c>
      <x:c r="K46" s="20" t="n">
        <x:v>18.036437246963565</x:v>
      </x:c>
      <x:c r="L46" s="21" t="n">
        <x:v>0</x:v>
      </x:c>
      <x:c r="M46" s="21" t="n">
        <x:v>0</x:v>
      </x:c>
      <x:c r="N46" s="21" t="n">
        <x:v>0</x:v>
      </x:c>
      <x:c r="O46" s="21" t="n">
        <x:v>0</x:v>
      </x:c>
      <x:c r="P46" s="21" t="n">
        <x:v>0</x:v>
      </x:c>
      <x:c r="Q46" s="21" t="n">
        <x:v>0</x:v>
      </x:c>
      <x:c r="R46" s="21" t="n">
        <x:v>0</x:v>
      </x:c>
      <x:c r="S46" s="21" t="n">
        <x:v>0</x:v>
      </x:c>
      <x:c r="T46" s="21" t="n">
        <x:v>14.210526315789474</x:v>
      </x:c>
      <x:c r="U46" s="21" t="n">
        <x:v>62.75412145748989</x:v>
      </x:c>
      <x:c r="V46" s="21" t="n">
        <x:v>0.432787044534413</x:v>
      </x:c>
      <x:c r="W46" s="21" t="n">
        <x:v>3.8259109311740893</x:v>
      </x:c>
      <x:c r="X46" s="21" t="n">
        <x:v>2.9514170040485834</x:v>
      </x:c>
      <x:c r="Y46" s="21" t="n">
        <x:v>23.803287449392716</x:v>
      </x:c>
      <x:c r="Z46" s="21" t="n">
        <x:v>0.10819676113360326</x:v>
      </x:c>
      <x:c r="AA46" s="21" t="n">
        <x:v>0</x:v>
      </x:c>
      <x:c r="AB46" s="21" t="n">
        <x:v>0</x:v>
      </x:c>
      <x:c r="AC46" s="21" t="n">
        <x:v>0</x:v>
      </x:c>
      <x:c r="AD46" s="21" t="n">
        <x:v>0</x:v>
      </x:c>
      <x:c r="AE46" s="21" t="n">
        <x:v>0</x:v>
      </x:c>
      <x:c r="AF46" s="21" t="n">
        <x:v>0</x:v>
      </x:c>
      <x:c r="AG46" s="21" t="n">
        <x:v>0</x:v>
      </x:c>
      <x:c r="AH46" s="21" t="n">
        <x:v>0</x:v>
      </x:c>
      <x:c r="AI46" s="21" t="n">
        <x:v>0</x:v>
      </x:c>
      <x:c r="AJ46" s="21" t="n">
        <x:v>0</x:v>
      </x:c>
      <x:c r="AK46" s="21" t="n">
        <x:v>0</x:v>
      </x:c>
      <x:c r="AL46" s="21" t="n">
        <x:v>0</x:v>
      </x:c>
      <x:c r="AM46" s="21" t="n">
        <x:v>1</x:v>
      </x:c>
      <x:c r="AN46" s="21" t="n">
        <x:v>1</x:v>
      </x:c>
      <x:c r="AO46" s="21" t="n">
        <x:v>1</x:v>
      </x:c>
      <x:c r="AP46" s="21" t="n">
        <x:v>1.01</x:v>
      </x:c>
      <x:c r="AQ46" s="21" t="n">
        <x:v>0.98</x:v>
      </x:c>
      <x:c r="AR46" s="21" t="n">
        <x:v>1</x:v>
      </x:c>
      <x:c r="AS46" s="21" t="n">
        <x:v>1</x:v>
      </x:c>
      <x:c r="AT46" s="21" t="n">
        <x:v>1</x:v>
      </x:c>
      <x:c r="AU46" s="21" t="n">
        <x:v>0</x:v>
      </x:c>
      <x:c r="AV46" s="22" t="n">
        <x:f>IF(C46="QB",N46*0.04+O46*4-P46*2+R46*0.1+S46*6,IF(OR(C46="RB",C46="WR",C46="TE"),U46*0.1+V46*6+R46*0.1+S46*6+X46*0.5+Y46*0.1+Z46*6,IF(C46="K",AC46*3+AD46*4+AE46*5+AF46,IF(C46="DST",AG46+AH46*2+AI46*6+AL46,0))))</x:f>
        <x:v>13.377352226720651</x:v>
      </x:c>
      <x:c r="AW46" s="22" t="n">
        <x:f>(AV46+AU46)*G46</x:f>
        <x:v>13.377352226720651</x:v>
      </x:c>
      <x:c r="AX46" s="22" t="n">
        <x:f>MAX(0,AW46*IF(C46="QB",0.68,IF(C46="RB",0.58,IF(C46="WR",0.52,IF(C46="TE",0.50,IF(C46="K",0.55,0.40))))))</x:f>
        <x:v>7.758864291497977</x:v>
      </x:c>
      <x:c r="AY46" s="22" t="n">
        <x:f>AW46*IF(C46="QB",1.32,IF(C46="RB",1.45,IF(C46="WR",1.55,IF(C46="TE",1.60,IF(C46="K",1.45,1.65)))))</x:f>
        <x:v>19.397160728744943</x:v>
      </x:c>
      <x:c r="AZ46" s="12" t="str">
        <x:v>High</x:v>
      </x:c>
      <x:c r="BA46" s="12" t="n">
        <x:v>1</x:v>
      </x:c>
      <x:c r="BB46" s="12" t="n">
        <x:f>COUNTIFS($C$2:$C$344,C46,$AW$2:$AW$344,"&gt;"&amp;AW46,$G$2:$G$344,"&gt;0")+COUNTIFS($C$2:C46,C46,$AW$2:AW46,AW46,$G$2:G46,"&gt;0")</x:f>
        <x:v>10</x:v>
      </x:c>
      <x:c r="BC46" s="12" t="n">
        <x:v>10</x:v>
      </x:c>
      <x:c r="BD46" s="12" t="str">
        <x:f>IF(BB46&lt;BC46,"↑",IF(BB46&gt;BC46,"↓","→"))</x:f>
        <x:v>→</x:v>
      </x:c>
      <x:c r="BE46" s="23" t="str">
        <x:v>Fantasy Football Brief ROS baseline; official NFL schedule</x:v>
      </x:c>
      <x:c r="BF46" s="23" t="str">
        <x:v>Current role and availability baseline; all adjustment factors shown numerically</x:v>
      </x:c>
      <x:c r="BG46" s="23" t="str">
        <x:v>Material injury, depth-chart, or role change</x:v>
      </x:c>
      <x:c r="BH46" s="24" t="str">
        <x:v>2026-09-23 10:35 CT</x:v>
      </x:c>
    </x:row>
    <x:row r="47">
      <x:c r="A47" s="12" t="str">
        <x:v>Javonte Williams</x:v>
      </x:c>
      <x:c r="B47" s="12" t="str">
        <x:v>DAL</x:v>
      </x:c>
      <x:c r="C47" s="12" t="str">
        <x:v>RB</x:v>
      </x:c>
      <x:c r="D47" s="12" t="str">
        <x:v>BAL</x:v>
      </x:c>
      <x:c r="E47" s="12" t="str">
        <x:v>Home</x:v>
      </x:c>
      <x:c r="F47" s="12" t="str">
        <x:v>2026-09-27</x:v>
      </x:c>
      <x:c r="G47" s="19" t="n">
        <x:v>1</x:v>
      </x:c>
      <x:c r="H47" s="20" t="str">
        <x:v>ACTIVE</x:v>
      </x:c>
      <x:c r="I47" s="20" t="n">
        <x:v>36</x:v>
      </x:c>
      <x:c r="J47" s="20" t="str">
        <x:v>Opportunities</x:v>
      </x:c>
      <x:c r="K47" s="20" t="n">
        <x:v>18.437246963562753</x:v>
      </x:c>
      <x:c r="L47" s="21" t="n">
        <x:v>0</x:v>
      </x:c>
      <x:c r="M47" s="21" t="n">
        <x:v>0</x:v>
      </x:c>
      <x:c r="N47" s="21" t="n">
        <x:v>0</x:v>
      </x:c>
      <x:c r="O47" s="21" t="n">
        <x:v>0</x:v>
      </x:c>
      <x:c r="P47" s="21" t="n">
        <x:v>0</x:v>
      </x:c>
      <x:c r="Q47" s="21" t="n">
        <x:v>0</x:v>
      </x:c>
      <x:c r="R47" s="21" t="n">
        <x:v>0</x:v>
      </x:c>
      <x:c r="S47" s="21" t="n">
        <x:v>0</x:v>
      </x:c>
      <x:c r="T47" s="21" t="n">
        <x:v>14.526315789473685</x:v>
      </x:c>
      <x:c r="U47" s="21" t="n">
        <x:v>60.92113360323887</x:v>
      </x:c>
      <x:c r="V47" s="21" t="n">
        <x:v>0.4201457489878543</x:v>
      </x:c>
      <x:c r="W47" s="21" t="n">
        <x:v>3.910931174089069</x:v>
      </x:c>
      <x:c r="X47" s="21" t="n">
        <x:v>3.0170040485829963</x:v>
      </x:c>
      <x:c r="Y47" s="21" t="n">
        <x:v>23.108016194331984</x:v>
      </x:c>
      <x:c r="Z47" s="21" t="n">
        <x:v>0.10503643724696357</x:v>
      </x:c>
      <x:c r="AA47" s="21" t="n">
        <x:v>0</x:v>
      </x:c>
      <x:c r="AB47" s="21" t="n">
        <x:v>0</x:v>
      </x:c>
      <x:c r="AC47" s="21" t="n">
        <x:v>0</x:v>
      </x:c>
      <x:c r="AD47" s="21" t="n">
        <x:v>0</x:v>
      </x:c>
      <x:c r="AE47" s="21" t="n">
        <x:v>0</x:v>
      </x:c>
      <x:c r="AF47" s="21" t="n">
        <x:v>0</x:v>
      </x:c>
      <x:c r="AG47" s="21" t="n">
        <x:v>0</x:v>
      </x:c>
      <x:c r="AH47" s="21" t="n">
        <x:v>0</x:v>
      </x:c>
      <x:c r="AI47" s="21" t="n">
        <x:v>0</x:v>
      </x:c>
      <x:c r="AJ47" s="21" t="n">
        <x:v>0</x:v>
      </x:c>
      <x:c r="AK47" s="21" t="n">
        <x:v>0</x:v>
      </x:c>
      <x:c r="AL47" s="21" t="n">
        <x:v>0</x:v>
      </x:c>
      <x:c r="AM47" s="21" t="n">
        <x:v>1</x:v>
      </x:c>
      <x:c r="AN47" s="21" t="n">
        <x:v>1</x:v>
      </x:c>
      <x:c r="AO47" s="21" t="n">
        <x:v>1</x:v>
      </x:c>
      <x:c r="AP47" s="21" t="n">
        <x:v>1</x:v>
      </x:c>
      <x:c r="AQ47" s="21" t="n">
        <x:v>0.94</x:v>
      </x:c>
      <x:c r="AR47" s="21" t="n">
        <x:v>1</x:v>
      </x:c>
      <x:c r="AS47" s="21" t="n">
        <x:v>1</x:v>
      </x:c>
      <x:c r="AT47" s="21" t="n">
        <x:v>1</x:v>
      </x:c>
      <x:c r="AU47" s="21" t="n">
        <x:v>0</x:v>
      </x:c>
      <x:c r="AV47" s="22" t="n">
        <x:f>IF(C47="QB",N47*0.04+O47*4-P47*2+R47*0.1+S47*6,IF(OR(C47="RB",C47="WR",C47="TE"),U47*0.1+V47*6+R47*0.1+S47*6+X47*0.5+Y47*0.1+Z47*6,IF(C47="K",AC47*3+AD47*4+AE47*5+AF47,IF(C47="DST",AG47+AH47*2+AI47*6+AL47,0))))</x:f>
        <x:v>13.062510121457493</x:v>
      </x:c>
      <x:c r="AW47" s="22" t="n">
        <x:f>(AV47+AU47)*G47</x:f>
        <x:v>13.062510121457493</x:v>
      </x:c>
      <x:c r="AX47" s="22" t="n">
        <x:f>MAX(0,AW47*IF(C47="QB",0.68,IF(C47="RB",0.58,IF(C47="WR",0.52,IF(C47="TE",0.50,IF(C47="K",0.55,0.40))))))</x:f>
        <x:v>7.576255870445345</x:v>
      </x:c>
      <x:c r="AY47" s="22" t="n">
        <x:f>AW47*IF(C47="QB",1.32,IF(C47="RB",1.45,IF(C47="WR",1.55,IF(C47="TE",1.60,IF(C47="K",1.45,1.65)))))</x:f>
        <x:v>18.940639676113364</x:v>
      </x:c>
      <x:c r="AZ47" s="12" t="str">
        <x:v>High</x:v>
      </x:c>
      <x:c r="BA47" s="12" t="n">
        <x:v>2</x:v>
      </x:c>
      <x:c r="BB47" s="12" t="n">
        <x:f>COUNTIFS($C$2:$C$344,C47,$AW$2:$AW$344,"&gt;"&amp;AW47,$G$2:$G$344,"&gt;0")+COUNTIFS($C$2:C47,C47,$AW$2:AW47,AW47,$G$2:G47,"&gt;0")</x:f>
        <x:v>11</x:v>
      </x:c>
      <x:c r="BC47" s="12" t="n">
        <x:v>11</x:v>
      </x:c>
      <x:c r="BD47" s="12" t="str">
        <x:f>IF(BB47&lt;BC47,"↑",IF(BB47&gt;BC47,"↓","→"))</x:f>
        <x:v>→</x:v>
      </x:c>
      <x:c r="BE47" s="23" t="str">
        <x:v>Fantasy Football Brief ROS baseline; official NFL schedule</x:v>
      </x:c>
      <x:c r="BF47" s="23" t="str">
        <x:v>Current role and availability baseline; all adjustment factors shown numerically</x:v>
      </x:c>
      <x:c r="BG47" s="23" t="str">
        <x:v>Material injury, depth-chart, or role change</x:v>
      </x:c>
      <x:c r="BH47" s="24" t="str">
        <x:v>2026-09-23 10:35 CT</x:v>
      </x:c>
    </x:row>
    <x:row r="48">
      <x:c r="A48" s="12" t="str">
        <x:v>De'Von Achane</x:v>
      </x:c>
      <x:c r="B48" s="12" t="str">
        <x:v>MIA</x:v>
      </x:c>
      <x:c r="C48" s="12" t="str">
        <x:v>RB</x:v>
      </x:c>
      <x:c r="D48" s="12" t="str">
        <x:v>KC</x:v>
      </x:c>
      <x:c r="E48" s="12" t="str">
        <x:v>Home</x:v>
      </x:c>
      <x:c r="F48" s="12" t="str">
        <x:v>2026-09-27</x:v>
      </x:c>
      <x:c r="G48" s="19" t="n">
        <x:v>1</x:v>
      </x:c>
      <x:c r="H48" s="20" t="str">
        <x:v>ACTIVE</x:v>
      </x:c>
      <x:c r="I48" s="20" t="n">
        <x:v>36</x:v>
      </x:c>
      <x:c r="J48" s="20" t="str">
        <x:v>Opportunities</x:v>
      </x:c>
      <x:c r="K48" s="20" t="n">
        <x:v>18.57085020242915</x:v>
      </x:c>
      <x:c r="L48" s="21" t="n">
        <x:v>0</x:v>
      </x:c>
      <x:c r="M48" s="21" t="n">
        <x:v>0</x:v>
      </x:c>
      <x:c r="N48" s="21" t="n">
        <x:v>0</x:v>
      </x:c>
      <x:c r="O48" s="21" t="n">
        <x:v>0</x:v>
      </x:c>
      <x:c r="P48" s="21" t="n">
        <x:v>0</x:v>
      </x:c>
      <x:c r="Q48" s="21" t="n">
        <x:v>0</x:v>
      </x:c>
      <x:c r="R48" s="21" t="n">
        <x:v>0</x:v>
      </x:c>
      <x:c r="S48" s="21" t="n">
        <x:v>0</x:v>
      </x:c>
      <x:c r="T48" s="21" t="n">
        <x:v>14.631578947368421</x:v>
      </x:c>
      <x:c r="U48" s="21" t="n">
        <x:v>60.78813279352226</x:v>
      </x:c>
      <x:c r="V48" s="21" t="n">
        <x:v>0.41922850202429146</x:v>
      </x:c>
      <x:c r="W48" s="21" t="n">
        <x:v>3.9392712550607287</x:v>
      </x:c>
      <x:c r="X48" s="21" t="n">
        <x:v>3.038866396761134</x:v>
      </x:c>
      <x:c r="Y48" s="21" t="n">
        <x:v>23.05756761133603</x:v>
      </x:c>
      <x:c r="Z48" s="21" t="n">
        <x:v>0.10480712550607287</x:v>
      </x:c>
      <x:c r="AA48" s="21" t="n">
        <x:v>0</x:v>
      </x:c>
      <x:c r="AB48" s="21" t="n">
        <x:v>0</x:v>
      </x:c>
      <x:c r="AC48" s="21" t="n">
        <x:v>0</x:v>
      </x:c>
      <x:c r="AD48" s="21" t="n">
        <x:v>0</x:v>
      </x:c>
      <x:c r="AE48" s="21" t="n">
        <x:v>0</x:v>
      </x:c>
      <x:c r="AF48" s="21" t="n">
        <x:v>0</x:v>
      </x:c>
      <x:c r="AG48" s="21" t="n">
        <x:v>0</x:v>
      </x:c>
      <x:c r="AH48" s="21" t="n">
        <x:v>0</x:v>
      </x:c>
      <x:c r="AI48" s="21" t="n">
        <x:v>0</x:v>
      </x:c>
      <x:c r="AJ48" s="21" t="n">
        <x:v>0</x:v>
      </x:c>
      <x:c r="AK48" s="21" t="n">
        <x:v>0</x:v>
      </x:c>
      <x:c r="AL48" s="21" t="n">
        <x:v>0</x:v>
      </x:c>
      <x:c r="AM48" s="21" t="n">
        <x:v>1</x:v>
      </x:c>
      <x:c r="AN48" s="21" t="n">
        <x:v>1</x:v>
      </x:c>
      <x:c r="AO48" s="21" t="n">
        <x:v>1</x:v>
      </x:c>
      <x:c r="AP48" s="21" t="n">
        <x:v>0.97</x:v>
      </x:c>
      <x:c r="AQ48" s="21" t="n">
        <x:v>0.96</x:v>
      </x:c>
      <x:c r="AR48" s="21" t="n">
        <x:v>1</x:v>
      </x:c>
      <x:c r="AS48" s="21" t="n">
        <x:v>1</x:v>
      </x:c>
      <x:c r="AT48" s="21" t="n">
        <x:v>1</x:v>
      </x:c>
      <x:c r="AU48" s="21" t="n">
        <x:v>0</x:v>
      </x:c>
      <x:c r="AV48" s="22" t="n">
        <x:f>IF(C48="QB",N48*0.04+O48*4-P48*2+R48*0.1+S48*6,IF(OR(C48="RB",C48="WR",C48="TE"),U48*0.1+V48*6+R48*0.1+S48*6+X48*0.5+Y48*0.1+Z48*6,IF(C48="K",AC48*3+AD48*4+AE48*5+AF48,IF(C48="DST",AG48+AH48*2+AI48*6+AL48,0))))</x:f>
        <x:v>13.048217004048581</x:v>
      </x:c>
      <x:c r="AW48" s="22" t="n">
        <x:f>(AV48+AU48)*G48</x:f>
        <x:v>13.048217004048581</x:v>
      </x:c>
      <x:c r="AX48" s="22" t="n">
        <x:f>MAX(0,AW48*IF(C48="QB",0.68,IF(C48="RB",0.58,IF(C48="WR",0.52,IF(C48="TE",0.50,IF(C48="K",0.55,0.40))))))</x:f>
        <x:v>7.567965862348177</x:v>
      </x:c>
      <x:c r="AY48" s="22" t="n">
        <x:f>AW48*IF(C48="QB",1.32,IF(C48="RB",1.45,IF(C48="WR",1.55,IF(C48="TE",1.60,IF(C48="K",1.45,1.65)))))</x:f>
        <x:v>18.919914655870443</x:v>
      </x:c>
      <x:c r="AZ48" s="12" t="str">
        <x:v>High</x:v>
      </x:c>
      <x:c r="BA48" s="12" t="n">
        <x:v>2</x:v>
      </x:c>
      <x:c r="BB48" s="12" t="n">
        <x:f>COUNTIFS($C$2:$C$344,C48,$AW$2:$AW$344,"&gt;"&amp;AW48,$G$2:$G$344,"&gt;0")+COUNTIFS($C$2:C48,C48,$AW$2:AW48,AW48,$G$2:G48,"&gt;0")</x:f>
        <x:v>12</x:v>
      </x:c>
      <x:c r="BC48" s="12" t="n">
        <x:v>12</x:v>
      </x:c>
      <x:c r="BD48" s="12" t="str">
        <x:f>IF(BB48&lt;BC48,"↑",IF(BB48&gt;BC48,"↓","→"))</x:f>
        <x:v>→</x:v>
      </x:c>
      <x:c r="BE48" s="23" t="str">
        <x:v>Fantasy Football Brief ROS baseline; official NFL schedule</x:v>
      </x:c>
      <x:c r="BF48" s="23" t="str">
        <x:v>Current role and availability baseline; all adjustment factors shown numerically</x:v>
      </x:c>
      <x:c r="BG48" s="23" t="str">
        <x:v>Material injury, depth-chart, or role change</x:v>
      </x:c>
      <x:c r="BH48" s="24" t="str">
        <x:v>2026-09-23 10:35 CT</x:v>
      </x:c>
    </x:row>
    <x:row r="49">
      <x:c r="A49" s="12" t="str">
        <x:v>Kyren Williams</x:v>
      </x:c>
      <x:c r="B49" s="12" t="str">
        <x:v>LAR</x:v>
      </x:c>
      <x:c r="C49" s="12" t="str">
        <x:v>RB</x:v>
      </x:c>
      <x:c r="D49" s="12" t="str">
        <x:v>DEN</x:v>
      </x:c>
      <x:c r="E49" s="12" t="str">
        <x:v>Away</x:v>
      </x:c>
      <x:c r="F49" s="12" t="str">
        <x:v>2026-09-27</x:v>
      </x:c>
      <x:c r="G49" s="19" t="n">
        <x:v>1</x:v>
      </x:c>
      <x:c r="H49" s="20" t="str">
        <x:v>ACTIVE</x:v>
      </x:c>
      <x:c r="I49" s="20" t="n">
        <x:v>36</x:v>
      </x:c>
      <x:c r="J49" s="20" t="str">
        <x:v>Opportunities</x:v>
      </x:c>
      <x:c r="K49" s="20" t="n">
        <x:v>17.769230769230774</x:v>
      </x:c>
      <x:c r="L49" s="21" t="n">
        <x:v>0</x:v>
      </x:c>
      <x:c r="M49" s="21" t="n">
        <x:v>0</x:v>
      </x:c>
      <x:c r="N49" s="21" t="n">
        <x:v>0</x:v>
      </x:c>
      <x:c r="O49" s="21" t="n">
        <x:v>0</x:v>
      </x:c>
      <x:c r="P49" s="21" t="n">
        <x:v>0</x:v>
      </x:c>
      <x:c r="Q49" s="21" t="n">
        <x:v>0</x:v>
      </x:c>
      <x:c r="R49" s="21" t="n">
        <x:v>0</x:v>
      </x:c>
      <x:c r="S49" s="21" t="n">
        <x:v>0</x:v>
      </x:c>
      <x:c r="T49" s="21" t="n">
        <x:v>14.000000000000002</x:v>
      </x:c>
      <x:c r="U49" s="21" t="n">
        <x:v>59.83190769230771</x:v>
      </x:c>
      <x:c r="V49" s="21" t="n">
        <x:v>0.41263384615384624</x:v>
      </x:c>
      <x:c r="W49" s="21" t="n">
        <x:v>3.76923076923077</x:v>
      </x:c>
      <x:c r="X49" s="21" t="n">
        <x:v>2.9076923076923085</x:v>
      </x:c>
      <x:c r="Y49" s="21" t="n">
        <x:v>22.694861538461545</x:v>
      </x:c>
      <x:c r="Z49" s="21" t="n">
        <x:v>0.10315846153846156</x:v>
      </x:c>
      <x:c r="AA49" s="21" t="n">
        <x:v>0</x:v>
      </x:c>
      <x:c r="AB49" s="21" t="n">
        <x:v>0</x:v>
      </x:c>
      <x:c r="AC49" s="21" t="n">
        <x:v>0</x:v>
      </x:c>
      <x:c r="AD49" s="21" t="n">
        <x:v>0</x:v>
      </x:c>
      <x:c r="AE49" s="21" t="n">
        <x:v>0</x:v>
      </x:c>
      <x:c r="AF49" s="21" t="n">
        <x:v>0</x:v>
      </x:c>
      <x:c r="AG49" s="21" t="n">
        <x:v>0</x:v>
      </x:c>
      <x:c r="AH49" s="21" t="n">
        <x:v>0</x:v>
      </x:c>
      <x:c r="AI49" s="21" t="n">
        <x:v>0</x:v>
      </x:c>
      <x:c r="AJ49" s="21" t="n">
        <x:v>0</x:v>
      </x:c>
      <x:c r="AK49" s="21" t="n">
        <x:v>0</x:v>
      </x:c>
      <x:c r="AL49" s="21" t="n">
        <x:v>0</x:v>
      </x:c>
      <x:c r="AM49" s="21" t="n">
        <x:v>1</x:v>
      </x:c>
      <x:c r="AN49" s="21" t="n">
        <x:v>1</x:v>
      </x:c>
      <x:c r="AO49" s="21" t="n">
        <x:v>1</x:v>
      </x:c>
      <x:c r="AP49" s="21" t="n">
        <x:v>1.03</x:v>
      </x:c>
      <x:c r="AQ49" s="21" t="n">
        <x:v>0.93</x:v>
      </x:c>
      <x:c r="AR49" s="21" t="n">
        <x:v>1</x:v>
      </x:c>
      <x:c r="AS49" s="21" t="n">
        <x:v>1</x:v>
      </x:c>
      <x:c r="AT49" s="21" t="n">
        <x:v>1</x:v>
      </x:c>
      <x:c r="AU49" s="21" t="n">
        <x:v>0</x:v>
      </x:c>
      <x:c r="AV49" s="22" t="n">
        <x:f>IF(C49="QB",N49*0.04+O49*4-P49*2+R49*0.1+S49*6,IF(OR(C49="RB",C49="WR",C49="TE"),U49*0.1+V49*6+R49*0.1+S49*6+X49*0.5+Y49*0.1+Z49*6,IF(C49="K",AC49*3+AD49*4+AE49*5+AF49,IF(C49="DST",AG49+AH49*2+AI49*6+AL49,0))))</x:f>
        <x:v>12.801276923076927</x:v>
      </x:c>
      <x:c r="AW49" s="22" t="n">
        <x:f>(AV49+AU49)*G49</x:f>
        <x:v>12.801276923076927</x:v>
      </x:c>
      <x:c r="AX49" s="22" t="n">
        <x:f>MAX(0,AW49*IF(C49="QB",0.68,IF(C49="RB",0.58,IF(C49="WR",0.52,IF(C49="TE",0.50,IF(C49="K",0.55,0.40))))))</x:f>
        <x:v>7.424740615384617</x:v>
      </x:c>
      <x:c r="AY49" s="22" t="n">
        <x:f>AW49*IF(C49="QB",1.32,IF(C49="RB",1.45,IF(C49="WR",1.55,IF(C49="TE",1.60,IF(C49="K",1.45,1.65)))))</x:f>
        <x:v>18.561851538461543</x:v>
      </x:c>
      <x:c r="AZ49" s="12" t="str">
        <x:v>High</x:v>
      </x:c>
      <x:c r="BA49" s="12" t="n">
        <x:v>2</x:v>
      </x:c>
      <x:c r="BB49" s="12" t="n">
        <x:f>COUNTIFS($C$2:$C$344,C49,$AW$2:$AW$344,"&gt;"&amp;AW49,$G$2:$G$344,"&gt;0")+COUNTIFS($C$2:C49,C49,$AW$2:AW49,AW49,$G$2:G49,"&gt;0")</x:f>
        <x:v>13</x:v>
      </x:c>
      <x:c r="BC49" s="12" t="n">
        <x:v>13</x:v>
      </x:c>
      <x:c r="BD49" s="12" t="str">
        <x:f>IF(BB49&lt;BC49,"↑",IF(BB49&gt;BC49,"↓","→"))</x:f>
        <x:v>→</x:v>
      </x:c>
      <x:c r="BE49" s="23" t="str">
        <x:v>Fantasy Football Brief ROS baseline; official NFL schedule</x:v>
      </x:c>
      <x:c r="BF49" s="23" t="str">
        <x:v>Current role and availability baseline; all adjustment factors shown numerically</x:v>
      </x:c>
      <x:c r="BG49" s="23" t="str">
        <x:v>Material injury, depth-chart, or role change</x:v>
      </x:c>
      <x:c r="BH49" s="24" t="str">
        <x:v>2026-09-23 10:35 CT</x:v>
      </x:c>
    </x:row>
    <x:row r="50">
      <x:c r="A50" s="12" t="str">
        <x:v>Omarion Hampton</x:v>
      </x:c>
      <x:c r="B50" s="12" t="str">
        <x:v>LAC</x:v>
      </x:c>
      <x:c r="C50" s="12" t="str">
        <x:v>RB</x:v>
      </x:c>
      <x:c r="D50" s="12" t="str">
        <x:v>BUF</x:v>
      </x:c>
      <x:c r="E50" s="12" t="str">
        <x:v>Away</x:v>
      </x:c>
      <x:c r="F50" s="12" t="str">
        <x:v>2026-09-27</x:v>
      </x:c>
      <x:c r="G50" s="19" t="n">
        <x:v>1</x:v>
      </x:c>
      <x:c r="H50" s="20" t="str">
        <x:v>ACTIVE</x:v>
      </x:c>
      <x:c r="I50" s="20" t="n">
        <x:v>36</x:v>
      </x:c>
      <x:c r="J50" s="20" t="str">
        <x:v>Opportunities</x:v>
      </x:c>
      <x:c r="K50" s="20" t="n">
        <x:v>17.101214574898783</x:v>
      </x:c>
      <x:c r="L50" s="21" t="n">
        <x:v>0</x:v>
      </x:c>
      <x:c r="M50" s="21" t="n">
        <x:v>0</x:v>
      </x:c>
      <x:c r="N50" s="21" t="n">
        <x:v>0</x:v>
      </x:c>
      <x:c r="O50" s="21" t="n">
        <x:v>0</x:v>
      </x:c>
      <x:c r="P50" s="21" t="n">
        <x:v>0</x:v>
      </x:c>
      <x:c r="Q50" s="21" t="n">
        <x:v>0</x:v>
      </x:c>
      <x:c r="R50" s="21" t="n">
        <x:v>0</x:v>
      </x:c>
      <x:c r="S50" s="21" t="n">
        <x:v>0</x:v>
      </x:c>
      <x:c r="T50" s="21" t="n">
        <x:v>13.473684210526315</x:v>
      </x:c>
      <x:c r="U50" s="21" t="n">
        <x:v>58.285914170040485</x:v>
      </x:c>
      <x:c r="V50" s="21" t="n">
        <x:v>0.4019718218623482</x:v>
      </x:c>
      <x:c r="W50" s="21" t="n">
        <x:v>3.6275303643724697</x:v>
      </x:c>
      <x:c r="X50" s="21" t="n">
        <x:v>2.7983805668016197</x:v>
      </x:c>
      <x:c r="Y50" s="21" t="n">
        <x:v>22.108450202429154</x:v>
      </x:c>
      <x:c r="Z50" s="21" t="n">
        <x:v>0.10049295546558705</x:v>
      </x:c>
      <x:c r="AA50" s="21" t="n">
        <x:v>0</x:v>
      </x:c>
      <x:c r="AB50" s="21" t="n">
        <x:v>0</x:v>
      </x:c>
      <x:c r="AC50" s="21" t="n">
        <x:v>0</x:v>
      </x:c>
      <x:c r="AD50" s="21" t="n">
        <x:v>0</x:v>
      </x:c>
      <x:c r="AE50" s="21" t="n">
        <x:v>0</x:v>
      </x:c>
      <x:c r="AF50" s="21" t="n">
        <x:v>0</x:v>
      </x:c>
      <x:c r="AG50" s="21" t="n">
        <x:v>0</x:v>
      </x:c>
      <x:c r="AH50" s="21" t="n">
        <x:v>0</x:v>
      </x:c>
      <x:c r="AI50" s="21" t="n">
        <x:v>0</x:v>
      </x:c>
      <x:c r="AJ50" s="21" t="n">
        <x:v>0</x:v>
      </x:c>
      <x:c r="AK50" s="21" t="n">
        <x:v>0</x:v>
      </x:c>
      <x:c r="AL50" s="21" t="n">
        <x:v>0</x:v>
      </x:c>
      <x:c r="AM50" s="21" t="n">
        <x:v>1</x:v>
      </x:c>
      <x:c r="AN50" s="21" t="n">
        <x:v>1</x:v>
      </x:c>
      <x:c r="AO50" s="21" t="n">
        <x:v>1</x:v>
      </x:c>
      <x:c r="AP50" s="21" t="n">
        <x:v>1.01</x:v>
      </x:c>
      <x:c r="AQ50" s="21" t="n">
        <x:v>0.96</x:v>
      </x:c>
      <x:c r="AR50" s="21" t="n">
        <x:v>1</x:v>
      </x:c>
      <x:c r="AS50" s="21" t="n">
        <x:v>1</x:v>
      </x:c>
      <x:c r="AT50" s="21" t="n">
        <x:v>1</x:v>
      </x:c>
      <x:c r="AU50" s="21" t="n">
        <x:v>0</x:v>
      </x:c>
      <x:c r="AV50" s="22" t="n">
        <x:f>IF(C50="QB",N50*0.04+O50*4-P50*2+R50*0.1+S50*6,IF(OR(C50="RB",C50="WR",C50="TE"),U50*0.1+V50*6+R50*0.1+S50*6+X50*0.5+Y50*0.1+Z50*6,IF(C50="K",AC50*3+AD50*4+AE50*5+AF50,IF(C50="DST",AG50+AH50*2+AI50*6+AL50,0))))</x:f>
        <x:v>12.453415384615385</x:v>
      </x:c>
      <x:c r="AW50" s="22" t="n">
        <x:f>(AV50+AU50)*G50</x:f>
        <x:v>12.453415384615385</x:v>
      </x:c>
      <x:c r="AX50" s="22" t="n">
        <x:f>MAX(0,AW50*IF(C50="QB",0.68,IF(C50="RB",0.58,IF(C50="WR",0.52,IF(C50="TE",0.50,IF(C50="K",0.55,0.40))))))</x:f>
        <x:v>7.222980923076922</x:v>
      </x:c>
      <x:c r="AY50" s="22" t="n">
        <x:f>AW50*IF(C50="QB",1.32,IF(C50="RB",1.45,IF(C50="WR",1.55,IF(C50="TE",1.60,IF(C50="K",1.45,1.65)))))</x:f>
        <x:v>18.05745230769231</x:v>
      </x:c>
      <x:c r="AZ50" s="12" t="str">
        <x:v>High</x:v>
      </x:c>
      <x:c r="BA50" s="12" t="n">
        <x:v>2</x:v>
      </x:c>
      <x:c r="BB50" s="12" t="n">
        <x:f>COUNTIFS($C$2:$C$344,C50,$AW$2:$AW$344,"&gt;"&amp;AW50,$G$2:$G$344,"&gt;0")+COUNTIFS($C$2:C50,C50,$AW$2:AW50,AW50,$G$2:G50,"&gt;0")</x:f>
        <x:v>14</x:v>
      </x:c>
      <x:c r="BC50" s="12" t="n">
        <x:v>14</x:v>
      </x:c>
      <x:c r="BD50" s="12" t="str">
        <x:f>IF(BB50&lt;BC50,"↑",IF(BB50&gt;BC50,"↓","→"))</x:f>
        <x:v>→</x:v>
      </x:c>
      <x:c r="BE50" s="23" t="str">
        <x:v>Fantasy Football Brief ROS baseline; official NFL schedule</x:v>
      </x:c>
      <x:c r="BF50" s="23" t="str">
        <x:v>Current role and availability baseline; all adjustment factors shown numerically</x:v>
      </x:c>
      <x:c r="BG50" s="23" t="str">
        <x:v>Material injury, depth-chart, or role change</x:v>
      </x:c>
      <x:c r="BH50" s="24" t="str">
        <x:v>2026-09-23 10:35 CT</x:v>
      </x:c>
    </x:row>
    <x:row r="51">
      <x:c r="A51" s="12" t="str">
        <x:v>Breece Hall</x:v>
      </x:c>
      <x:c r="B51" s="12" t="str">
        <x:v>NYJ</x:v>
      </x:c>
      <x:c r="C51" s="12" t="str">
        <x:v>RB</x:v>
      </x:c>
      <x:c r="D51" s="12" t="str">
        <x:v>DET</x:v>
      </x:c>
      <x:c r="E51" s="12" t="str">
        <x:v>Away</x:v>
      </x:c>
      <x:c r="F51" s="12" t="str">
        <x:v>2026-09-27</x:v>
      </x:c>
      <x:c r="G51" s="19" t="n">
        <x:v>1</x:v>
      </x:c>
      <x:c r="H51" s="20" t="str">
        <x:v>ACTIVE</x:v>
      </x:c>
      <x:c r="I51" s="20" t="n">
        <x:v>36</x:v>
      </x:c>
      <x:c r="J51" s="20" t="str">
        <x:v>Opportunities</x:v>
      </x:c>
      <x:c r="K51" s="20" t="n">
        <x:v>16.967611336032387</x:v>
      </x:c>
      <x:c r="L51" s="21" t="n">
        <x:v>0</x:v>
      </x:c>
      <x:c r="M51" s="21" t="n">
        <x:v>0</x:v>
      </x:c>
      <x:c r="N51" s="21" t="n">
        <x:v>0</x:v>
      </x:c>
      <x:c r="O51" s="21" t="n">
        <x:v>0</x:v>
      </x:c>
      <x:c r="P51" s="21" t="n">
        <x:v>0</x:v>
      </x:c>
      <x:c r="Q51" s="21" t="n">
        <x:v>0</x:v>
      </x:c>
      <x:c r="R51" s="21" t="n">
        <x:v>0</x:v>
      </x:c>
      <x:c r="S51" s="21" t="n">
        <x:v>0</x:v>
      </x:c>
      <x:c r="T51" s="21" t="n">
        <x:v>13.368421052631579</x:v>
      </x:c>
      <x:c r="U51" s="21" t="n">
        <x:v>57.854412955465584</x:v>
      </x:c>
      <x:c r="V51" s="21" t="n">
        <x:v>0.398995951417004</x:v>
      </x:c>
      <x:c r="W51" s="21" t="n">
        <x:v>3.5991902834008096</x:v>
      </x:c>
      <x:c r="X51" s="21" t="n">
        <x:v>2.776518218623482</x:v>
      </x:c>
      <x:c r="Y51" s="21" t="n">
        <x:v>21.94477732793522</x:v>
      </x:c>
      <x:c r="Z51" s="21" t="n">
        <x:v>0.099748987854251</x:v>
      </x:c>
      <x:c r="AA51" s="21" t="n">
        <x:v>0</x:v>
      </x:c>
      <x:c r="AB51" s="21" t="n">
        <x:v>0</x:v>
      </x:c>
      <x:c r="AC51" s="21" t="n">
        <x:v>0</x:v>
      </x:c>
      <x:c r="AD51" s="21" t="n">
        <x:v>0</x:v>
      </x:c>
      <x:c r="AE51" s="21" t="n">
        <x:v>0</x:v>
      </x:c>
      <x:c r="AF51" s="21" t="n">
        <x:v>0</x:v>
      </x:c>
      <x:c r="AG51" s="21" t="n">
        <x:v>0</x:v>
      </x:c>
      <x:c r="AH51" s="21" t="n">
        <x:v>0</x:v>
      </x:c>
      <x:c r="AI51" s="21" t="n">
        <x:v>0</x:v>
      </x:c>
      <x:c r="AJ51" s="21" t="n">
        <x:v>0</x:v>
      </x:c>
      <x:c r="AK51" s="21" t="n">
        <x:v>0</x:v>
      </x:c>
      <x:c r="AL51" s="21" t="n">
        <x:v>0</x:v>
      </x:c>
      <x:c r="AM51" s="21" t="n">
        <x:v>1</x:v>
      </x:c>
      <x:c r="AN51" s="21" t="n">
        <x:v>1</x:v>
      </x:c>
      <x:c r="AO51" s="21" t="n">
        <x:v>1</x:v>
      </x:c>
      <x:c r="AP51" s="21" t="n">
        <x:v>0.97</x:v>
      </x:c>
      <x:c r="AQ51" s="21" t="n">
        <x:v>1</x:v>
      </x:c>
      <x:c r="AR51" s="21" t="n">
        <x:v>1</x:v>
      </x:c>
      <x:c r="AS51" s="21" t="n">
        <x:v>1</x:v>
      </x:c>
      <x:c r="AT51" s="21" t="n">
        <x:v>1</x:v>
      </x:c>
      <x:c r="AU51" s="21" t="n">
        <x:v>0</x:v>
      </x:c>
      <x:c r="AV51" s="22" t="n">
        <x:f>IF(C51="QB",N51*0.04+O51*4-P51*2+R51*0.1+S51*6,IF(OR(C51="RB",C51="WR",C51="TE"),U51*0.1+V51*6+R51*0.1+S51*6+X51*0.5+Y51*0.1+Z51*6,IF(C51="K",AC51*3+AD51*4+AE51*5+AF51,IF(C51="DST",AG51+AH51*2+AI51*6+AL51,0))))</x:f>
        <x:v>12.360647773279354</x:v>
      </x:c>
      <x:c r="AW51" s="22" t="n">
        <x:f>(AV51+AU51)*G51</x:f>
        <x:v>12.360647773279354</x:v>
      </x:c>
      <x:c r="AX51" s="22" t="n">
        <x:f>MAX(0,AW51*IF(C51="QB",0.68,IF(C51="RB",0.58,IF(C51="WR",0.52,IF(C51="TE",0.50,IF(C51="K",0.55,0.40))))))</x:f>
        <x:v>7.169175708502024</x:v>
      </x:c>
      <x:c r="AY51" s="22" t="n">
        <x:f>AW51*IF(C51="QB",1.32,IF(C51="RB",1.45,IF(C51="WR",1.55,IF(C51="TE",1.60,IF(C51="K",1.45,1.65)))))</x:f>
        <x:v>17.92293927125506</x:v>
      </x:c>
      <x:c r="AZ51" s="12" t="str">
        <x:v>High</x:v>
      </x:c>
      <x:c r="BA51" s="12" t="n">
        <x:v>2</x:v>
      </x:c>
      <x:c r="BB51" s="12" t="n">
        <x:f>COUNTIFS($C$2:$C$344,C51,$AW$2:$AW$344,"&gt;"&amp;AW51,$G$2:$G$344,"&gt;0")+COUNTIFS($C$2:C51,C51,$AW$2:AW51,AW51,$G$2:G51,"&gt;0")</x:f>
        <x:v>15</x:v>
      </x:c>
      <x:c r="BC51" s="12" t="n">
        <x:v>15</x:v>
      </x:c>
      <x:c r="BD51" s="12" t="str">
        <x:f>IF(BB51&lt;BC51,"↑",IF(BB51&gt;BC51,"↓","→"))</x:f>
        <x:v>→</x:v>
      </x:c>
      <x:c r="BE51" s="23" t="str">
        <x:v>Fantasy Football Brief ROS baseline; official NFL schedule</x:v>
      </x:c>
      <x:c r="BF51" s="23" t="str">
        <x:v>Current role and availability baseline; all adjustment factors shown numerically</x:v>
      </x:c>
      <x:c r="BG51" s="23" t="str">
        <x:v>Material injury, depth-chart, or role change</x:v>
      </x:c>
      <x:c r="BH51" s="24" t="str">
        <x:v>2026-09-23 10:35 CT</x:v>
      </x:c>
    </x:row>
    <x:row r="52">
      <x:c r="A52" s="12" t="str">
        <x:v>Bucky Irving</x:v>
      </x:c>
      <x:c r="B52" s="12" t="str">
        <x:v>TB</x:v>
      </x:c>
      <x:c r="C52" s="12" t="str">
        <x:v>RB</x:v>
      </x:c>
      <x:c r="D52" s="12" t="str">
        <x:v>MIN</x:v>
      </x:c>
      <x:c r="E52" s="12" t="str">
        <x:v>Home</x:v>
      </x:c>
      <x:c r="F52" s="12" t="str">
        <x:v>2026-09-27</x:v>
      </x:c>
      <x:c r="G52" s="19" t="n">
        <x:v>1</x:v>
      </x:c>
      <x:c r="H52" s="20" t="str">
        <x:v>ACTIVE</x:v>
      </x:c>
      <x:c r="I52" s="20" t="n">
        <x:v>36</x:v>
      </x:c>
      <x:c r="J52" s="20" t="str">
        <x:v>Opportunities</x:v>
      </x:c>
      <x:c r="K52" s="20" t="n">
        <x:v>16.032388663967613</x:v>
      </x:c>
      <x:c r="L52" s="21" t="n">
        <x:v>0</x:v>
      </x:c>
      <x:c r="M52" s="21" t="n">
        <x:v>0</x:v>
      </x:c>
      <x:c r="N52" s="21" t="n">
        <x:v>0</x:v>
      </x:c>
      <x:c r="O52" s="21" t="n">
        <x:v>0</x:v>
      </x:c>
      <x:c r="P52" s="21" t="n">
        <x:v>0</x:v>
      </x:c>
      <x:c r="Q52" s="21" t="n">
        <x:v>0</x:v>
      </x:c>
      <x:c r="R52" s="21" t="n">
        <x:v>0</x:v>
      </x:c>
      <x:c r="S52" s="21" t="n">
        <x:v>0</x:v>
      </x:c>
      <x:c r="T52" s="21" t="n">
        <x:v>12.631578947368421</x:v>
      </x:c>
      <x:c r="U52" s="21" t="n">
        <x:v>56.35063967611336</x:v>
      </x:c>
      <x:c r="V52" s="21" t="n">
        <x:v>0.38862510121457494</x:v>
      </x:c>
      <x:c r="W52" s="21" t="n">
        <x:v>3.4008097165991904</x:v>
      </x:c>
      <x:c r="X52" s="21" t="n">
        <x:v>2.6234817813765186</x:v>
      </x:c>
      <x:c r="Y52" s="21" t="n">
        <x:v>21.374380566801623</x:v>
      </x:c>
      <x:c r="Z52" s="21" t="n">
        <x:v>0.09715627530364374</x:v>
      </x:c>
      <x:c r="AA52" s="21" t="n">
        <x:v>0</x:v>
      </x:c>
      <x:c r="AB52" s="21" t="n">
        <x:v>0</x:v>
      </x:c>
      <x:c r="AC52" s="21" t="n">
        <x:v>0</x:v>
      </x:c>
      <x:c r="AD52" s="21" t="n">
        <x:v>0</x:v>
      </x:c>
      <x:c r="AE52" s="21" t="n">
        <x:v>0</x:v>
      </x:c>
      <x:c r="AF52" s="21" t="n">
        <x:v>0</x:v>
      </x:c>
      <x:c r="AG52" s="21" t="n">
        <x:v>0</x:v>
      </x:c>
      <x:c r="AH52" s="21" t="n">
        <x:v>0</x:v>
      </x:c>
      <x:c r="AI52" s="21" t="n">
        <x:v>0</x:v>
      </x:c>
      <x:c r="AJ52" s="21" t="n">
        <x:v>0</x:v>
      </x:c>
      <x:c r="AK52" s="21" t="n">
        <x:v>0</x:v>
      </x:c>
      <x:c r="AL52" s="21" t="n">
        <x:v>0</x:v>
      </x:c>
      <x:c r="AM52" s="21" t="n">
        <x:v>1</x:v>
      </x:c>
      <x:c r="AN52" s="21" t="n">
        <x:v>1</x:v>
      </x:c>
      <x:c r="AO52" s="21" t="n">
        <x:v>1</x:v>
      </x:c>
      <x:c r="AP52" s="21" t="n">
        <x:v>1.01</x:v>
      </x:c>
      <x:c r="AQ52" s="21" t="n">
        <x:v>0.99</x:v>
      </x:c>
      <x:c r="AR52" s="21" t="n">
        <x:v>1</x:v>
      </x:c>
      <x:c r="AS52" s="21" t="n">
        <x:v>1</x:v>
      </x:c>
      <x:c r="AT52" s="21" t="n">
        <x:v>1</x:v>
      </x:c>
      <x:c r="AU52" s="21" t="n">
        <x:v>0</x:v>
      </x:c>
      <x:c r="AV52" s="22" t="n">
        <x:f>IF(C52="QB",N52*0.04+O52*4-P52*2+R52*0.1+S52*6,IF(OR(C52="RB",C52="WR",C52="TE"),U52*0.1+V52*6+R52*0.1+S52*6+X52*0.5+Y52*0.1+Z52*6,IF(C52="K",AC52*3+AD52*4+AE52*5+AF52,IF(C52="DST",AG52+AH52*2+AI52*6+AL52,0))))</x:f>
        <x:v>11.99893117408907</x:v>
      </x:c>
      <x:c r="AW52" s="22" t="n">
        <x:f>(AV52+AU52)*G52</x:f>
        <x:v>11.99893117408907</x:v>
      </x:c>
      <x:c r="AX52" s="22" t="n">
        <x:f>MAX(0,AW52*IF(C52="QB",0.68,IF(C52="RB",0.58,IF(C52="WR",0.52,IF(C52="TE",0.50,IF(C52="K",0.55,0.40))))))</x:f>
        <x:v>6.95938008097166</x:v>
      </x:c>
      <x:c r="AY52" s="22" t="n">
        <x:f>AW52*IF(C52="QB",1.32,IF(C52="RB",1.45,IF(C52="WR",1.55,IF(C52="TE",1.60,IF(C52="K",1.45,1.65)))))</x:f>
        <x:v>17.39845020242915</x:v>
      </x:c>
      <x:c r="AZ52" s="12" t="str">
        <x:v>High</x:v>
      </x:c>
      <x:c r="BA52" s="12" t="n">
        <x:v>2</x:v>
      </x:c>
      <x:c r="BB52" s="12" t="n">
        <x:f>COUNTIFS($C$2:$C$344,C52,$AW$2:$AW$344,"&gt;"&amp;AW52,$G$2:$G$344,"&gt;0")+COUNTIFS($C$2:C52,C52,$AW$2:AW52,AW52,$G$2:G52,"&gt;0")</x:f>
        <x:v>16</x:v>
      </x:c>
      <x:c r="BC52" s="12" t="n">
        <x:v>16</x:v>
      </x:c>
      <x:c r="BD52" s="12" t="str">
        <x:f>IF(BB52&lt;BC52,"↑",IF(BB52&gt;BC52,"↓","→"))</x:f>
        <x:v>→</x:v>
      </x:c>
      <x:c r="BE52" s="23" t="str">
        <x:v>Fantasy Football Brief ROS baseline; official NFL schedule</x:v>
      </x:c>
      <x:c r="BF52" s="23" t="str">
        <x:v>Current role and availability baseline; all adjustment factors shown numerically</x:v>
      </x:c>
      <x:c r="BG52" s="23" t="str">
        <x:v>Material injury, depth-chart, or role change</x:v>
      </x:c>
      <x:c r="BH52" s="24" t="str">
        <x:v>2026-09-23 10:35 CT</x:v>
      </x:c>
    </x:row>
    <x:row r="53">
      <x:c r="A53" s="12" t="str">
        <x:v>David Montgomery</x:v>
      </x:c>
      <x:c r="B53" s="12" t="str">
        <x:v>HOU</x:v>
      </x:c>
      <x:c r="C53" s="12" t="str">
        <x:v>RB</x:v>
      </x:c>
      <x:c r="D53" s="12" t="str">
        <x:v>IND</x:v>
      </x:c>
      <x:c r="E53" s="12" t="str">
        <x:v>Away</x:v>
      </x:c>
      <x:c r="F53" s="12" t="str">
        <x:v>2026-09-27</x:v>
      </x:c>
      <x:c r="G53" s="19" t="n">
        <x:v>1</x:v>
      </x:c>
      <x:c r="H53" s="20" t="str">
        <x:v>ACTIVE</x:v>
      </x:c>
      <x:c r="I53" s="20" t="n">
        <x:v>36</x:v>
      </x:c>
      <x:c r="J53" s="20" t="str">
        <x:v>Opportunities</x:v>
      </x:c>
      <x:c r="K53" s="20" t="n">
        <x:v>16.16599190283401</x:v>
      </x:c>
      <x:c r="L53" s="21" t="n">
        <x:v>0</x:v>
      </x:c>
      <x:c r="M53" s="21" t="n">
        <x:v>0</x:v>
      </x:c>
      <x:c r="N53" s="21" t="n">
        <x:v>0</x:v>
      </x:c>
      <x:c r="O53" s="21" t="n">
        <x:v>0</x:v>
      </x:c>
      <x:c r="P53" s="21" t="n">
        <x:v>0</x:v>
      </x:c>
      <x:c r="Q53" s="21" t="n">
        <x:v>0</x:v>
      </x:c>
      <x:c r="R53" s="21" t="n">
        <x:v>0</x:v>
      </x:c>
      <x:c r="S53" s="21" t="n">
        <x:v>0</x:v>
      </x:c>
      <x:c r="T53" s="21" t="n">
        <x:v>12.736842105263158</x:v>
      </x:c>
      <x:c r="U53" s="21" t="n">
        <x:v>56.25765182186235</x:v>
      </x:c>
      <x:c r="V53" s="21" t="n">
        <x:v>0.38798380566801627</x:v>
      </x:c>
      <x:c r="W53" s="21" t="n">
        <x:v>3.4291497975708505</x:v>
      </x:c>
      <x:c r="X53" s="21" t="n">
        <x:v>2.645344129554656</x:v>
      </x:c>
      <x:c r="Y53" s="21" t="n">
        <x:v>21.33910931174089</x:v>
      </x:c>
      <x:c r="Z53" s="21" t="n">
        <x:v>0.09699595141700407</x:v>
      </x:c>
      <x:c r="AA53" s="21" t="n">
        <x:v>0</x:v>
      </x:c>
      <x:c r="AB53" s="21" t="n">
        <x:v>0</x:v>
      </x:c>
      <x:c r="AC53" s="21" t="n">
        <x:v>0</x:v>
      </x:c>
      <x:c r="AD53" s="21" t="n">
        <x:v>0</x:v>
      </x:c>
      <x:c r="AE53" s="21" t="n">
        <x:v>0</x:v>
      </x:c>
      <x:c r="AF53" s="21" t="n">
        <x:v>0</x:v>
      </x:c>
      <x:c r="AG53" s="21" t="n">
        <x:v>0</x:v>
      </x:c>
      <x:c r="AH53" s="21" t="n">
        <x:v>0</x:v>
      </x:c>
      <x:c r="AI53" s="21" t="n">
        <x:v>0</x:v>
      </x:c>
      <x:c r="AJ53" s="21" t="n">
        <x:v>0</x:v>
      </x:c>
      <x:c r="AK53" s="21" t="n">
        <x:v>0</x:v>
      </x:c>
      <x:c r="AL53" s="21" t="n">
        <x:v>0</x:v>
      </x:c>
      <x:c r="AM53" s="21" t="n">
        <x:v>1</x:v>
      </x:c>
      <x:c r="AN53" s="21" t="n">
        <x:v>1</x:v>
      </x:c>
      <x:c r="AO53" s="21" t="n">
        <x:v>1</x:v>
      </x:c>
      <x:c r="AP53" s="21" t="n">
        <x:v>0.99</x:v>
      </x:c>
      <x:c r="AQ53" s="21" t="n">
        <x:v>1</x:v>
      </x:c>
      <x:c r="AR53" s="21" t="n">
        <x:v>1</x:v>
      </x:c>
      <x:c r="AS53" s="21" t="n">
        <x:v>1</x:v>
      </x:c>
      <x:c r="AT53" s="21" t="n">
        <x:v>1</x:v>
      </x:c>
      <x:c r="AU53" s="21" t="n">
        <x:v>0</x:v>
      </x:c>
      <x:c r="AV53" s="22" t="n">
        <x:f>IF(C53="QB",N53*0.04+O53*4-P53*2+R53*0.1+S53*6,IF(OR(C53="RB",C53="WR",C53="TE"),U53*0.1+V53*6+R53*0.1+S53*6+X53*0.5+Y53*0.1+Z53*6,IF(C53="K",AC53*3+AD53*4+AE53*5+AF53,IF(C53="DST",AG53+AH53*2+AI53*6+AL53,0))))</x:f>
        <x:v>11.992226720647775</x:v>
      </x:c>
      <x:c r="AW53" s="22" t="n">
        <x:f>(AV53+AU53)*G53</x:f>
        <x:v>11.992226720647775</x:v>
      </x:c>
      <x:c r="AX53" s="22" t="n">
        <x:f>MAX(0,AW53*IF(C53="QB",0.68,IF(C53="RB",0.58,IF(C53="WR",0.52,IF(C53="TE",0.50,IF(C53="K",0.55,0.40))))))</x:f>
        <x:v>6.955491497975709</x:v>
      </x:c>
      <x:c r="AY53" s="22" t="n">
        <x:f>AW53*IF(C53="QB",1.32,IF(C53="RB",1.45,IF(C53="WR",1.55,IF(C53="TE",1.60,IF(C53="K",1.45,1.65)))))</x:f>
        <x:v>17.38872874493927</x:v>
      </x:c>
      <x:c r="AZ53" s="12" t="str">
        <x:v>High</x:v>
      </x:c>
      <x:c r="BA53" s="12" t="n">
        <x:v>2</x:v>
      </x:c>
      <x:c r="BB53" s="12" t="n">
        <x:f>COUNTIFS($C$2:$C$344,C53,$AW$2:$AW$344,"&gt;"&amp;AW53,$G$2:$G$344,"&gt;0")+COUNTIFS($C$2:C53,C53,$AW$2:AW53,AW53,$G$2:G53,"&gt;0")</x:f>
        <x:v>17</x:v>
      </x:c>
      <x:c r="BC53" s="12" t="n">
        <x:v>17</x:v>
      </x:c>
      <x:c r="BD53" s="12" t="str">
        <x:f>IF(BB53&lt;BC53,"↑",IF(BB53&gt;BC53,"↓","→"))</x:f>
        <x:v>→</x:v>
      </x:c>
      <x:c r="BE53" s="23" t="str">
        <x:v>Fantasy Football Brief ROS baseline; official NFL schedule</x:v>
      </x:c>
      <x:c r="BF53" s="23" t="str">
        <x:v>Current role and availability baseline; all adjustment factors shown numerically</x:v>
      </x:c>
      <x:c r="BG53" s="23" t="str">
        <x:v>Material injury, depth-chart, or role change</x:v>
      </x:c>
      <x:c r="BH53" s="24" t="str">
        <x:v>2026-09-23 10:35 CT</x:v>
      </x:c>
    </x:row>
    <x:row r="54">
      <x:c r="A54" s="12" t="str">
        <x:v>Jeremiyah Love</x:v>
      </x:c>
      <x:c r="B54" s="12" t="str">
        <x:v>ARI</x:v>
      </x:c>
      <x:c r="C54" s="12" t="str">
        <x:v>RB</x:v>
      </x:c>
      <x:c r="D54" s="12" t="str">
        <x:v>SF</x:v>
      </x:c>
      <x:c r="E54" s="12" t="str">
        <x:v>Away</x:v>
      </x:c>
      <x:c r="F54" s="12" t="str">
        <x:v>2026-09-27</x:v>
      </x:c>
      <x:c r="G54" s="19" t="n">
        <x:v>1</x:v>
      </x:c>
      <x:c r="H54" s="20" t="str">
        <x:v>ACTIVE</x:v>
      </x:c>
      <x:c r="I54" s="20" t="n">
        <x:v>36</x:v>
      </x:c>
      <x:c r="J54" s="20" t="str">
        <x:v>Opportunities</x:v>
      </x:c>
      <x:c r="K54" s="20" t="n">
        <x:v>16.16599190283401</x:v>
      </x:c>
      <x:c r="L54" s="21" t="n">
        <x:v>0</x:v>
      </x:c>
      <x:c r="M54" s="21" t="n">
        <x:v>0</x:v>
      </x:c>
      <x:c r="N54" s="21" t="n">
        <x:v>0</x:v>
      </x:c>
      <x:c r="O54" s="21" t="n">
        <x:v>0</x:v>
      </x:c>
      <x:c r="P54" s="21" t="n">
        <x:v>0</x:v>
      </x:c>
      <x:c r="Q54" s="21" t="n">
        <x:v>0</x:v>
      </x:c>
      <x:c r="R54" s="21" t="n">
        <x:v>0</x:v>
      </x:c>
      <x:c r="S54" s="21" t="n">
        <x:v>0</x:v>
      </x:c>
      <x:c r="T54" s="21" t="n">
        <x:v>12.736842105263158</x:v>
      </x:c>
      <x:c r="U54" s="21" t="n">
        <x:v>53.41635627530364</x:v>
      </x:c>
      <x:c r="V54" s="21" t="n">
        <x:v>0.3683886639676114</x:v>
      </x:c>
      <x:c r="W54" s="21" t="n">
        <x:v>3.4291497975708505</x:v>
      </x:c>
      <x:c r="X54" s="21" t="n">
        <x:v>2.645344129554656</x:v>
      </x:c>
      <x:c r="Y54" s="21" t="n">
        <x:v>20.261376518218622</x:v>
      </x:c>
      <x:c r="Z54" s="21" t="n">
        <x:v>0.09209716599190285</x:v>
      </x:c>
      <x:c r="AA54" s="21" t="n">
        <x:v>0</x:v>
      </x:c>
      <x:c r="AB54" s="21" t="n">
        <x:v>0</x:v>
      </x:c>
      <x:c r="AC54" s="21" t="n">
        <x:v>0</x:v>
      </x:c>
      <x:c r="AD54" s="21" t="n">
        <x:v>0</x:v>
      </x:c>
      <x:c r="AE54" s="21" t="n">
        <x:v>0</x:v>
      </x:c>
      <x:c r="AF54" s="21" t="n">
        <x:v>0</x:v>
      </x:c>
      <x:c r="AG54" s="21" t="n">
        <x:v>0</x:v>
      </x:c>
      <x:c r="AH54" s="21" t="n">
        <x:v>0</x:v>
      </x:c>
      <x:c r="AI54" s="21" t="n">
        <x:v>0</x:v>
      </x:c>
      <x:c r="AJ54" s="21" t="n">
        <x:v>0</x:v>
      </x:c>
      <x:c r="AK54" s="21" t="n">
        <x:v>0</x:v>
      </x:c>
      <x:c r="AL54" s="21" t="n">
        <x:v>0</x:v>
      </x:c>
      <x:c r="AM54" s="21" t="n">
        <x:v>1</x:v>
      </x:c>
      <x:c r="AN54" s="21" t="n">
        <x:v>1</x:v>
      </x:c>
      <x:c r="AO54" s="21" t="n">
        <x:v>1</x:v>
      </x:c>
      <x:c r="AP54" s="21" t="n">
        <x:v>1</x:v>
      </x:c>
      <x:c r="AQ54" s="21" t="n">
        <x:v>0.94</x:v>
      </x:c>
      <x:c r="AR54" s="21" t="n">
        <x:v>1</x:v>
      </x:c>
      <x:c r="AS54" s="21" t="n">
        <x:v>1</x:v>
      </x:c>
      <x:c r="AT54" s="21" t="n">
        <x:v>1</x:v>
      </x:c>
      <x:c r="AU54" s="21" t="n">
        <x:v>0</x:v>
      </x:c>
      <x:c r="AV54" s="22" t="n">
        <x:f>IF(C54="QB",N54*0.04+O54*4-P54*2+R54*0.1+S54*6,IF(OR(C54="RB",C54="WR",C54="TE"),U54*0.1+V54*6+R54*0.1+S54*6+X54*0.5+Y54*0.1+Z54*6,IF(C54="K",AC54*3+AD54*4+AE54*5+AF54,IF(C54="DST",AG54+AH54*2+AI54*6+AL54,0))))</x:f>
        <x:v>11.45336032388664</x:v>
      </x:c>
      <x:c r="AW54" s="22" t="n">
        <x:f>(AV54+AU54)*G54</x:f>
        <x:v>11.45336032388664</x:v>
      </x:c>
      <x:c r="AX54" s="22" t="n">
        <x:f>MAX(0,AW54*IF(C54="QB",0.68,IF(C54="RB",0.58,IF(C54="WR",0.52,IF(C54="TE",0.50,IF(C54="K",0.55,0.40))))))</x:f>
        <x:v>6.6429489878542505</x:v>
      </x:c>
      <x:c r="AY54" s="22" t="n">
        <x:f>AW54*IF(C54="QB",1.32,IF(C54="RB",1.45,IF(C54="WR",1.55,IF(C54="TE",1.60,IF(C54="K",1.45,1.65)))))</x:f>
        <x:v>16.607372469635628</x:v>
      </x:c>
      <x:c r="AZ54" s="12" t="str">
        <x:v>High</x:v>
      </x:c>
      <x:c r="BA54" s="12" t="n">
        <x:v>2</x:v>
      </x:c>
      <x:c r="BB54" s="12" t="n">
        <x:f>COUNTIFS($C$2:$C$344,C54,$AW$2:$AW$344,"&gt;"&amp;AW54,$G$2:$G$344,"&gt;0")+COUNTIFS($C$2:C54,C54,$AW$2:AW54,AW54,$G$2:G54,"&gt;0")</x:f>
        <x:v>18</x:v>
      </x:c>
      <x:c r="BC54" s="12" t="n">
        <x:v>18</x:v>
      </x:c>
      <x:c r="BD54" s="12" t="str">
        <x:f>IF(BB54&lt;BC54,"↑",IF(BB54&gt;BC54,"↓","→"))</x:f>
        <x:v>→</x:v>
      </x:c>
      <x:c r="BE54" s="23" t="str">
        <x:v>Fantasy Football Brief ROS baseline; official NFL schedule</x:v>
      </x:c>
      <x:c r="BF54" s="23" t="str">
        <x:v>Current role and availability baseline; all adjustment factors shown numerically</x:v>
      </x:c>
      <x:c r="BG54" s="23" t="str">
        <x:v>Material injury, depth-chart, or role change</x:v>
      </x:c>
      <x:c r="BH54" s="24" t="str">
        <x:v>2026-09-23 10:35 CT</x:v>
      </x:c>
    </x:row>
    <x:row r="55">
      <x:c r="A55" s="12" t="str">
        <x:v>D'Andre Swift</x:v>
      </x:c>
      <x:c r="B55" s="12" t="str">
        <x:v>CHI</x:v>
      </x:c>
      <x:c r="C55" s="12" t="str">
        <x:v>RB</x:v>
      </x:c>
      <x:c r="D55" s="12" t="str">
        <x:v>PHI</x:v>
      </x:c>
      <x:c r="E55" s="12" t="str">
        <x:v>Home</x:v>
      </x:c>
      <x:c r="F55" s="12" t="str">
        <x:v>2026-09-28</x:v>
      </x:c>
      <x:c r="G55" s="19" t="n">
        <x:v>1</x:v>
      </x:c>
      <x:c r="H55" s="20" t="str">
        <x:v>ACTIVE</x:v>
      </x:c>
      <x:c r="I55" s="20" t="n">
        <x:v>36</x:v>
      </x:c>
      <x:c r="J55" s="20" t="str">
        <x:v>Opportunities</x:v>
      </x:c>
      <x:c r="K55" s="20" t="n">
        <x:v>16.16599190283401</x:v>
      </x:c>
      <x:c r="L55" s="21" t="n">
        <x:v>0</x:v>
      </x:c>
      <x:c r="M55" s="21" t="n">
        <x:v>0</x:v>
      </x:c>
      <x:c r="N55" s="21" t="n">
        <x:v>0</x:v>
      </x:c>
      <x:c r="O55" s="21" t="n">
        <x:v>0</x:v>
      </x:c>
      <x:c r="P55" s="21" t="n">
        <x:v>0</x:v>
      </x:c>
      <x:c r="Q55" s="21" t="n">
        <x:v>0</x:v>
      </x:c>
      <x:c r="R55" s="21" t="n">
        <x:v>0</x:v>
      </x:c>
      <x:c r="S55" s="21" t="n">
        <x:v>0</x:v>
      </x:c>
      <x:c r="T55" s="21" t="n">
        <x:v>12.736842105263158</x:v>
      </x:c>
      <x:c r="U55" s="21" t="n">
        <x:v>51.82523076923077</x:v>
      </x:c>
      <x:c r="V55" s="21" t="n">
        <x:v>0.35741538461538463</x:v>
      </x:c>
      <x:c r="W55" s="21" t="n">
        <x:v>3.4291497975708505</x:v>
      </x:c>
      <x:c r="X55" s="21" t="n">
        <x:v>2.645344129554656</x:v>
      </x:c>
      <x:c r="Y55" s="21" t="n">
        <x:v>19.65784615384615</x:v>
      </x:c>
      <x:c r="Z55" s="21" t="n">
        <x:v>0.08935384615384616</x:v>
      </x:c>
      <x:c r="AA55" s="21" t="n">
        <x:v>0</x:v>
      </x:c>
      <x:c r="AB55" s="21" t="n">
        <x:v>0</x:v>
      </x:c>
      <x:c r="AC55" s="21" t="n">
        <x:v>0</x:v>
      </x:c>
      <x:c r="AD55" s="21" t="n">
        <x:v>0</x:v>
      </x:c>
      <x:c r="AE55" s="21" t="n">
        <x:v>0</x:v>
      </x:c>
      <x:c r="AF55" s="21" t="n">
        <x:v>0</x:v>
      </x:c>
      <x:c r="AG55" s="21" t="n">
        <x:v>0</x:v>
      </x:c>
      <x:c r="AH55" s="21" t="n">
        <x:v>0</x:v>
      </x:c>
      <x:c r="AI55" s="21" t="n">
        <x:v>0</x:v>
      </x:c>
      <x:c r="AJ55" s="21" t="n">
        <x:v>0</x:v>
      </x:c>
      <x:c r="AK55" s="21" t="n">
        <x:v>0</x:v>
      </x:c>
      <x:c r="AL55" s="21" t="n">
        <x:v>0</x:v>
      </x:c>
      <x:c r="AM55" s="21" t="n">
        <x:v>1</x:v>
      </x:c>
      <x:c r="AN55" s="21" t="n">
        <x:v>1</x:v>
      </x:c>
      <x:c r="AO55" s="21" t="n">
        <x:v>1</x:v>
      </x:c>
      <x:c r="AP55" s="21" t="n">
        <x:v>0.96</x:v>
      </x:c>
      <x:c r="AQ55" s="21" t="n">
        <x:v>0.95</x:v>
      </x:c>
      <x:c r="AR55" s="21" t="n">
        <x:v>1</x:v>
      </x:c>
      <x:c r="AS55" s="21" t="n">
        <x:v>1</x:v>
      </x:c>
      <x:c r="AT55" s="21" t="n">
        <x:v>1</x:v>
      </x:c>
      <x:c r="AU55" s="21" t="n">
        <x:v>0</x:v>
      </x:c>
      <x:c r="AV55" s="22" t="n">
        <x:f>IF(C55="QB",N55*0.04+O55*4-P55*2+R55*0.1+S55*6,IF(OR(C55="RB",C55="WR",C55="TE"),U55*0.1+V55*6+R55*0.1+S55*6+X55*0.5+Y55*0.1+Z55*6,IF(C55="K",AC55*3+AD55*4+AE55*5+AF55,IF(C55="DST",AG55+AH55*2+AI55*6+AL55,0))))</x:f>
        <x:v>11.151595141700406</x:v>
      </x:c>
      <x:c r="AW55" s="22" t="n">
        <x:f>(AV55+AU55)*G55</x:f>
        <x:v>11.151595141700406</x:v>
      </x:c>
      <x:c r="AX55" s="22" t="n">
        <x:f>MAX(0,AW55*IF(C55="QB",0.68,IF(C55="RB",0.58,IF(C55="WR",0.52,IF(C55="TE",0.50,IF(C55="K",0.55,0.40))))))</x:f>
        <x:v>6.467925182186235</x:v>
      </x:c>
      <x:c r="AY55" s="22" t="n">
        <x:f>AW55*IF(C55="QB",1.32,IF(C55="RB",1.45,IF(C55="WR",1.55,IF(C55="TE",1.60,IF(C55="K",1.45,1.65)))))</x:f>
        <x:v>16.169812955465588</x:v>
      </x:c>
      <x:c r="AZ55" s="12" t="str">
        <x:v>High</x:v>
      </x:c>
      <x:c r="BA55" s="12" t="n">
        <x:v>2</x:v>
      </x:c>
      <x:c r="BB55" s="12" t="n">
        <x:f>COUNTIFS($C$2:$C$344,C55,$AW$2:$AW$344,"&gt;"&amp;AW55,$G$2:$G$344,"&gt;0")+COUNTIFS($C$2:C55,C55,$AW$2:AW55,AW55,$G$2:G55,"&gt;0")</x:f>
        <x:v>19</x:v>
      </x:c>
      <x:c r="BC55" s="12" t="n">
        <x:v>19</x:v>
      </x:c>
      <x:c r="BD55" s="12" t="str">
        <x:f>IF(BB55&lt;BC55,"↑",IF(BB55&gt;BC55,"↓","→"))</x:f>
        <x:v>→</x:v>
      </x:c>
      <x:c r="BE55" s="23" t="str">
        <x:v>Fantasy Football Brief ROS baseline; official NFL schedule</x:v>
      </x:c>
      <x:c r="BF55" s="23" t="str">
        <x:v>Current role and availability baseline; all adjustment factors shown numerically</x:v>
      </x:c>
      <x:c r="BG55" s="23" t="str">
        <x:v>Material injury, depth-chart, or role change</x:v>
      </x:c>
      <x:c r="BH55" s="24" t="str">
        <x:v>2026-09-23 10:35 CT</x:v>
      </x:c>
    </x:row>
    <x:row r="56">
      <x:c r="A56" s="12" t="str">
        <x:v>Quinshon Judkins</x:v>
      </x:c>
      <x:c r="B56" s="12" t="str">
        <x:v>CLE</x:v>
      </x:c>
      <x:c r="C56" s="12" t="str">
        <x:v>RB</x:v>
      </x:c>
      <x:c r="D56" s="12" t="str">
        <x:v>CAR</x:v>
      </x:c>
      <x:c r="E56" s="12" t="str">
        <x:v>Home</x:v>
      </x:c>
      <x:c r="F56" s="12" t="str">
        <x:v>2026-09-27</x:v>
      </x:c>
      <x:c r="G56" s="19" t="n">
        <x:v>1</x:v>
      </x:c>
      <x:c r="H56" s="20" t="str">
        <x:v>ACTIVE</x:v>
      </x:c>
      <x:c r="I56" s="20" t="n">
        <x:v>36</x:v>
      </x:c>
      <x:c r="J56" s="20" t="str">
        <x:v>Opportunities</x:v>
      </x:c>
      <x:c r="K56" s="20" t="n">
        <x:v>14.295546558704453</x:v>
      </x:c>
      <x:c r="L56" s="21" t="n">
        <x:v>0</x:v>
      </x:c>
      <x:c r="M56" s="21" t="n">
        <x:v>0</x:v>
      </x:c>
      <x:c r="N56" s="21" t="n">
        <x:v>0</x:v>
      </x:c>
      <x:c r="O56" s="21" t="n">
        <x:v>0</x:v>
      </x:c>
      <x:c r="P56" s="21" t="n">
        <x:v>0</x:v>
      </x:c>
      <x:c r="Q56" s="21" t="n">
        <x:v>0</x:v>
      </x:c>
      <x:c r="R56" s="21" t="n">
        <x:v>0</x:v>
      </x:c>
      <x:c r="S56" s="21" t="n">
        <x:v>0</x:v>
      </x:c>
      <x:c r="T56" s="21" t="n">
        <x:v>11.263157894736842</x:v>
      </x:c>
      <x:c r="U56" s="21" t="n">
        <x:v>52.15552550607288</x:v>
      </x:c>
      <x:c r="V56" s="21" t="n">
        <x:v>0.3596932793522267</x:v>
      </x:c>
      <x:c r="W56" s="21" t="n">
        <x:v>3.032388663967611</x:v>
      </x:c>
      <x:c r="X56" s="21" t="n">
        <x:v>2.3392712550607286</x:v>
      </x:c>
      <x:c r="Y56" s="21" t="n">
        <x:v>19.783130364372468</x:v>
      </x:c>
      <x:c r="Z56" s="21" t="n">
        <x:v>0.08992331983805668</x:v>
      </x:c>
      <x:c r="AA56" s="21" t="n">
        <x:v>0</x:v>
      </x:c>
      <x:c r="AB56" s="21" t="n">
        <x:v>0</x:v>
      </x:c>
      <x:c r="AC56" s="21" t="n">
        <x:v>0</x:v>
      </x:c>
      <x:c r="AD56" s="21" t="n">
        <x:v>0</x:v>
      </x:c>
      <x:c r="AE56" s="21" t="n">
        <x:v>0</x:v>
      </x:c>
      <x:c r="AF56" s="21" t="n">
        <x:v>0</x:v>
      </x:c>
      <x:c r="AG56" s="21" t="n">
        <x:v>0</x:v>
      </x:c>
      <x:c r="AH56" s="21" t="n">
        <x:v>0</x:v>
      </x:c>
      <x:c r="AI56" s="21" t="n">
        <x:v>0</x:v>
      </x:c>
      <x:c r="AJ56" s="21" t="n">
        <x:v>0</x:v>
      </x:c>
      <x:c r="AK56" s="21" t="n">
        <x:v>0</x:v>
      </x:c>
      <x:c r="AL56" s="21" t="n">
        <x:v>0</x:v>
      </x:c>
      <x:c r="AM56" s="21" t="n">
        <x:v>1</x:v>
      </x:c>
      <x:c r="AN56" s="21" t="n">
        <x:v>1</x:v>
      </x:c>
      <x:c r="AO56" s="21" t="n">
        <x:v>1</x:v>
      </x:c>
      <x:c r="AP56" s="21" t="n">
        <x:v>0.97</x:v>
      </x:c>
      <x:c r="AQ56" s="21" t="n">
        <x:v>1.07</x:v>
      </x:c>
      <x:c r="AR56" s="21" t="n">
        <x:v>1</x:v>
      </x:c>
      <x:c r="AS56" s="21" t="n">
        <x:v>1</x:v>
      </x:c>
      <x:c r="AT56" s="21" t="n">
        <x:v>1</x:v>
      </x:c>
      <x:c r="AU56" s="21" t="n">
        <x:v>0</x:v>
      </x:c>
      <x:c r="AV56" s="22" t="n">
        <x:f>IF(C56="QB",N56*0.04+O56*4-P56*2+R56*0.1+S56*6,IF(OR(C56="RB",C56="WR",C56="TE"),U56*0.1+V56*6+R56*0.1+S56*6+X56*0.5+Y56*0.1+Z56*6,IF(C56="K",AC56*3+AD56*4+AE56*5+AF56,IF(C56="DST",AG56+AH56*2+AI56*6+AL56,0))))</x:f>
        <x:v>11.061200809716599</x:v>
      </x:c>
      <x:c r="AW56" s="22" t="n">
        <x:f>(AV56+AU56)*G56</x:f>
        <x:v>11.061200809716599</x:v>
      </x:c>
      <x:c r="AX56" s="22" t="n">
        <x:f>MAX(0,AW56*IF(C56="QB",0.68,IF(C56="RB",0.58,IF(C56="WR",0.52,IF(C56="TE",0.50,IF(C56="K",0.55,0.40))))))</x:f>
        <x:v>6.415496469635627</x:v>
      </x:c>
      <x:c r="AY56" s="22" t="n">
        <x:f>AW56*IF(C56="QB",1.32,IF(C56="RB",1.45,IF(C56="WR",1.55,IF(C56="TE",1.60,IF(C56="K",1.45,1.65)))))</x:f>
        <x:v>16.03874117408907</x:v>
      </x:c>
      <x:c r="AZ56" s="12" t="str">
        <x:v>High</x:v>
      </x:c>
      <x:c r="BA56" s="12" t="n">
        <x:v>2</x:v>
      </x:c>
      <x:c r="BB56" s="12" t="n">
        <x:f>COUNTIFS($C$2:$C$344,C56,$AW$2:$AW$344,"&gt;"&amp;AW56,$G$2:$G$344,"&gt;0")+COUNTIFS($C$2:C56,C56,$AW$2:AW56,AW56,$G$2:G56,"&gt;0")</x:f>
        <x:v>20</x:v>
      </x:c>
      <x:c r="BC56" s="12" t="n">
        <x:v>20</x:v>
      </x:c>
      <x:c r="BD56" s="12" t="str">
        <x:f>IF(BB56&lt;BC56,"↑",IF(BB56&gt;BC56,"↓","→"))</x:f>
        <x:v>→</x:v>
      </x:c>
      <x:c r="BE56" s="23" t="str">
        <x:v>Fantasy Football Brief ROS baseline; official NFL schedule</x:v>
      </x:c>
      <x:c r="BF56" s="23" t="str">
        <x:v>Current role and availability baseline; all adjustment factors shown numerically</x:v>
      </x:c>
      <x:c r="BG56" s="23" t="str">
        <x:v>Material injury, depth-chart, or role change</x:v>
      </x:c>
      <x:c r="BH56" s="24" t="str">
        <x:v>2026-09-23 10:35 CT</x:v>
      </x:c>
    </x:row>
    <x:row r="57">
      <x:c r="A57" s="12" t="str">
        <x:v>TreVeyon Henderson</x:v>
      </x:c>
      <x:c r="B57" s="12" t="str">
        <x:v>NE</x:v>
      </x:c>
      <x:c r="C57" s="12" t="str">
        <x:v>RB</x:v>
      </x:c>
      <x:c r="D57" s="12" t="str">
        <x:v>JAX</x:v>
      </x:c>
      <x:c r="E57" s="12" t="str">
        <x:v>Away</x:v>
      </x:c>
      <x:c r="F57" s="12" t="str">
        <x:v>2026-09-27</x:v>
      </x:c>
      <x:c r="G57" s="19" t="n">
        <x:v>1</x:v>
      </x:c>
      <x:c r="H57" s="20" t="str">
        <x:v>ACTIVE</x:v>
      </x:c>
      <x:c r="I57" s="20" t="n">
        <x:v>36</x:v>
      </x:c>
      <x:c r="J57" s="20" t="str">
        <x:v>Opportunities</x:v>
      </x:c>
      <x:c r="K57" s="20" t="n">
        <x:v>14.295546558704453</x:v>
      </x:c>
      <x:c r="L57" s="21" t="n">
        <x:v>0</x:v>
      </x:c>
      <x:c r="M57" s="21" t="n">
        <x:v>0</x:v>
      </x:c>
      <x:c r="N57" s="21" t="n">
        <x:v>0</x:v>
      </x:c>
      <x:c r="O57" s="21" t="n">
        <x:v>0</x:v>
      </x:c>
      <x:c r="P57" s="21" t="n">
        <x:v>0</x:v>
      </x:c>
      <x:c r="Q57" s="21" t="n">
        <x:v>0</x:v>
      </x:c>
      <x:c r="R57" s="21" t="n">
        <x:v>0</x:v>
      </x:c>
      <x:c r="S57" s="21" t="n">
        <x:v>0</x:v>
      </x:c>
      <x:c r="T57" s="21" t="n">
        <x:v>11.263157894736842</x:v>
      </x:c>
      <x:c r="U57" s="21" t="n">
        <x:v>50.23091174089069</x:v>
      </x:c>
      <x:c r="V57" s="21" t="n">
        <x:v>0.34642008097165994</x:v>
      </x:c>
      <x:c r="W57" s="21" t="n">
        <x:v>3.032388663967611</x:v>
      </x:c>
      <x:c r="X57" s="21" t="n">
        <x:v>2.3392712550607286</x:v>
      </x:c>
      <x:c r="Y57" s="21" t="n">
        <x:v>19.053104453441293</x:v>
      </x:c>
      <x:c r="Z57" s="21" t="n">
        <x:v>0.08660502024291498</x:v>
      </x:c>
      <x:c r="AA57" s="21" t="n">
        <x:v>0</x:v>
      </x:c>
      <x:c r="AB57" s="21" t="n">
        <x:v>0</x:v>
      </x:c>
      <x:c r="AC57" s="21" t="n">
        <x:v>0</x:v>
      </x:c>
      <x:c r="AD57" s="21" t="n">
        <x:v>0</x:v>
      </x:c>
      <x:c r="AE57" s="21" t="n">
        <x:v>0</x:v>
      </x:c>
      <x:c r="AF57" s="21" t="n">
        <x:v>0</x:v>
      </x:c>
      <x:c r="AG57" s="21" t="n">
        <x:v>0</x:v>
      </x:c>
      <x:c r="AH57" s="21" t="n">
        <x:v>0</x:v>
      </x:c>
      <x:c r="AI57" s="21" t="n">
        <x:v>0</x:v>
      </x:c>
      <x:c r="AJ57" s="21" t="n">
        <x:v>0</x:v>
      </x:c>
      <x:c r="AK57" s="21" t="n">
        <x:v>0</x:v>
      </x:c>
      <x:c r="AL57" s="21" t="n">
        <x:v>0</x:v>
      </x:c>
      <x:c r="AM57" s="21" t="n">
        <x:v>1</x:v>
      </x:c>
      <x:c r="AN57" s="21" t="n">
        <x:v>1</x:v>
      </x:c>
      <x:c r="AO57" s="21" t="n">
        <x:v>1</x:v>
      </x:c>
      <x:c r="AP57" s="21" t="n">
        <x:v>0.98</x:v>
      </x:c>
      <x:c r="AQ57" s="21" t="n">
        <x:v>1.02</x:v>
      </x:c>
      <x:c r="AR57" s="21" t="n">
        <x:v>1</x:v>
      </x:c>
      <x:c r="AS57" s="21" t="n">
        <x:v>1</x:v>
      </x:c>
      <x:c r="AT57" s="21" t="n">
        <x:v>1</x:v>
      </x:c>
      <x:c r="AU57" s="21" t="n">
        <x:v>0</x:v>
      </x:c>
      <x:c r="AV57" s="22" t="n">
        <x:f>IF(C57="QB",N57*0.04+O57*4-P57*2+R57*0.1+S57*6,IF(OR(C57="RB",C57="WR",C57="TE"),U57*0.1+V57*6+R57*0.1+S57*6+X57*0.5+Y57*0.1+Z57*6,IF(C57="K",AC57*3+AD57*4+AE57*5+AF57,IF(C57="DST",AG57+AH57*2+AI57*6+AL57,0))))</x:f>
        <x:v>10.696187854251013</x:v>
      </x:c>
      <x:c r="AW57" s="22" t="n">
        <x:f>(AV57+AU57)*G57</x:f>
        <x:v>10.696187854251013</x:v>
      </x:c>
      <x:c r="AX57" s="22" t="n">
        <x:f>MAX(0,AW57*IF(C57="QB",0.68,IF(C57="RB",0.58,IF(C57="WR",0.52,IF(C57="TE",0.50,IF(C57="K",0.55,0.40))))))</x:f>
        <x:v>6.203788955465587</x:v>
      </x:c>
      <x:c r="AY57" s="22" t="n">
        <x:f>AW57*IF(C57="QB",1.32,IF(C57="RB",1.45,IF(C57="WR",1.55,IF(C57="TE",1.60,IF(C57="K",1.45,1.65)))))</x:f>
        <x:v>15.50947238866397</x:v>
      </x:c>
      <x:c r="AZ57" s="12" t="str">
        <x:v>High</x:v>
      </x:c>
      <x:c r="BA57" s="12" t="n">
        <x:v>3</x:v>
      </x:c>
      <x:c r="BB57" s="12" t="n">
        <x:f>COUNTIFS($C$2:$C$344,C57,$AW$2:$AW$344,"&gt;"&amp;AW57,$G$2:$G$344,"&gt;0")+COUNTIFS($C$2:C57,C57,$AW$2:AW57,AW57,$G$2:G57,"&gt;0")</x:f>
        <x:v>21</x:v>
      </x:c>
      <x:c r="BC57" s="12" t="n">
        <x:v>21</x:v>
      </x:c>
      <x:c r="BD57" s="12" t="str">
        <x:f>IF(BB57&lt;BC57,"↑",IF(BB57&gt;BC57,"↓","→"))</x:f>
        <x:v>→</x:v>
      </x:c>
      <x:c r="BE57" s="23" t="str">
        <x:v>Fantasy Football Brief ROS baseline; official NFL schedule</x:v>
      </x:c>
      <x:c r="BF57" s="23" t="str">
        <x:v>Current role and availability baseline; all adjustment factors shown numerically</x:v>
      </x:c>
      <x:c r="BG57" s="23" t="str">
        <x:v>Material injury, depth-chart, or role change</x:v>
      </x:c>
      <x:c r="BH57" s="24" t="str">
        <x:v>2026-09-23 10:35 CT</x:v>
      </x:c>
    </x:row>
    <x:row r="58">
      <x:c r="A58" s="12" t="str">
        <x:v>Aaron Jones Sr.</x:v>
      </x:c>
      <x:c r="B58" s="12" t="str">
        <x:v>MIN</x:v>
      </x:c>
      <x:c r="C58" s="12" t="str">
        <x:v>RB</x:v>
      </x:c>
      <x:c r="D58" s="12" t="str">
        <x:v>TB</x:v>
      </x:c>
      <x:c r="E58" s="12" t="str">
        <x:v>Away</x:v>
      </x:c>
      <x:c r="F58" s="12" t="str">
        <x:v>2026-09-27</x:v>
      </x:c>
      <x:c r="G58" s="19" t="n">
        <x:v>1</x:v>
      </x:c>
      <x:c r="H58" s="20" t="str">
        <x:v>ACTIVE</x:v>
      </x:c>
      <x:c r="I58" s="20" t="n">
        <x:v>36</x:v>
      </x:c>
      <x:c r="J58" s="20" t="str">
        <x:v>Opportunities</x:v>
      </x:c>
      <x:c r="K58" s="20" t="n">
        <x:v>14.295546558704453</x:v>
      </x:c>
      <x:c r="L58" s="21" t="n">
        <x:v>0</x:v>
      </x:c>
      <x:c r="M58" s="21" t="n">
        <x:v>0</x:v>
      </x:c>
      <x:c r="N58" s="21" t="n">
        <x:v>0</x:v>
      </x:c>
      <x:c r="O58" s="21" t="n">
        <x:v>0</x:v>
      </x:c>
      <x:c r="P58" s="21" t="n">
        <x:v>0</x:v>
      </x:c>
      <x:c r="Q58" s="21" t="n">
        <x:v>0</x:v>
      </x:c>
      <x:c r="R58" s="21" t="n">
        <x:v>0</x:v>
      </x:c>
      <x:c r="S58" s="21" t="n">
        <x:v>0</x:v>
      </x:c>
      <x:c r="T58" s="21" t="n">
        <x:v>11.263157894736842</x:v>
      </x:c>
      <x:c r="U58" s="21" t="n">
        <x:v>49.7485020242915</x:v>
      </x:c>
      <x:c r="V58" s="21" t="n">
        <x:v>0.34309311740890686</x:v>
      </x:c>
      <x:c r="W58" s="21" t="n">
        <x:v>3.032388663967611</x:v>
      </x:c>
      <x:c r="X58" s="21" t="n">
        <x:v>2.3392712550607286</x:v>
      </x:c>
      <x:c r="Y58" s="21" t="n">
        <x:v>18.870121457489876</x:v>
      </x:c>
      <x:c r="Z58" s="21" t="n">
        <x:v>0.08577327935222671</x:v>
      </x:c>
      <x:c r="AA58" s="21" t="n">
        <x:v>0</x:v>
      </x:c>
      <x:c r="AB58" s="21" t="n">
        <x:v>0</x:v>
      </x:c>
      <x:c r="AC58" s="21" t="n">
        <x:v>0</x:v>
      </x:c>
      <x:c r="AD58" s="21" t="n">
        <x:v>0</x:v>
      </x:c>
      <x:c r="AE58" s="21" t="n">
        <x:v>0</x:v>
      </x:c>
      <x:c r="AF58" s="21" t="n">
        <x:v>0</x:v>
      </x:c>
      <x:c r="AG58" s="21" t="n">
        <x:v>0</x:v>
      </x:c>
      <x:c r="AH58" s="21" t="n">
        <x:v>0</x:v>
      </x:c>
      <x:c r="AI58" s="21" t="n">
        <x:v>0</x:v>
      </x:c>
      <x:c r="AJ58" s="21" t="n">
        <x:v>0</x:v>
      </x:c>
      <x:c r="AK58" s="21" t="n">
        <x:v>0</x:v>
      </x:c>
      <x:c r="AL58" s="21" t="n">
        <x:v>0</x:v>
      </x:c>
      <x:c r="AM58" s="21" t="n">
        <x:v>1</x:v>
      </x:c>
      <x:c r="AN58" s="21" t="n">
        <x:v>1</x:v>
      </x:c>
      <x:c r="AO58" s="21" t="n">
        <x:v>1</x:v>
      </x:c>
      <x:c r="AP58" s="21" t="n">
        <x:v>0.99</x:v>
      </x:c>
      <x:c r="AQ58" s="21" t="n">
        <x:v>1</x:v>
      </x:c>
      <x:c r="AR58" s="21" t="n">
        <x:v>1</x:v>
      </x:c>
      <x:c r="AS58" s="21" t="n">
        <x:v>1</x:v>
      </x:c>
      <x:c r="AT58" s="21" t="n">
        <x:v>1</x:v>
      </x:c>
      <x:c r="AU58" s="21" t="n">
        <x:v>0</x:v>
      </x:c>
      <x:c r="AV58" s="22" t="n">
        <x:f>IF(C58="QB",N58*0.04+O58*4-P58*2+R58*0.1+S58*6,IF(OR(C58="RB",C58="WR",C58="TE"),U58*0.1+V58*6+R58*0.1+S58*6+X58*0.5+Y58*0.1+Z58*6,IF(C58="K",AC58*3+AD58*4+AE58*5+AF58,IF(C58="DST",AG58+AH58*2+AI58*6+AL58,0))))</x:f>
        <x:v>10.604696356275303</x:v>
      </x:c>
      <x:c r="AW58" s="22" t="n">
        <x:f>(AV58+AU58)*G58</x:f>
        <x:v>10.604696356275303</x:v>
      </x:c>
      <x:c r="AX58" s="22" t="n">
        <x:f>MAX(0,AW58*IF(C58="QB",0.68,IF(C58="RB",0.58,IF(C58="WR",0.52,IF(C58="TE",0.50,IF(C58="K",0.55,0.40))))))</x:f>
        <x:v>6.150723886639676</x:v>
      </x:c>
      <x:c r="AY58" s="22" t="n">
        <x:f>AW58*IF(C58="QB",1.32,IF(C58="RB",1.45,IF(C58="WR",1.55,IF(C58="TE",1.60,IF(C58="K",1.45,1.65)))))</x:f>
        <x:v>15.376809716599189</x:v>
      </x:c>
      <x:c r="AZ58" s="12" t="str">
        <x:v>High</x:v>
      </x:c>
      <x:c r="BA58" s="12" t="n">
        <x:v>3</x:v>
      </x:c>
      <x:c r="BB58" s="12" t="n">
        <x:f>COUNTIFS($C$2:$C$344,C58,$AW$2:$AW$344,"&gt;"&amp;AW58,$G$2:$G$344,"&gt;0")+COUNTIFS($C$2:C58,C58,$AW$2:AW58,AW58,$G$2:G58,"&gt;0")</x:f>
        <x:v>22</x:v>
      </x:c>
      <x:c r="BC58" s="12" t="n">
        <x:v>22</x:v>
      </x:c>
      <x:c r="BD58" s="12" t="str">
        <x:f>IF(BB58&lt;BC58,"↑",IF(BB58&gt;BC58,"↓","→"))</x:f>
        <x:v>→</x:v>
      </x:c>
      <x:c r="BE58" s="23" t="str">
        <x:v>Fantasy Football Brief ROS baseline; official NFL schedule</x:v>
      </x:c>
      <x:c r="BF58" s="23" t="str">
        <x:v>Current role and availability baseline; all adjustment factors shown numerically</x:v>
      </x:c>
      <x:c r="BG58" s="23" t="str">
        <x:v>Material injury, depth-chart, or role change</x:v>
      </x:c>
      <x:c r="BH58" s="24" t="str">
        <x:v>2026-09-23 10:35 CT</x:v>
      </x:c>
    </x:row>
    <x:row r="59">
      <x:c r="A59" s="12" t="str">
        <x:v>Jaylen Warren</x:v>
      </x:c>
      <x:c r="B59" s="12" t="str">
        <x:v>PIT</x:v>
      </x:c>
      <x:c r="C59" s="12" t="str">
        <x:v>RB</x:v>
      </x:c>
      <x:c r="D59" s="12" t="str">
        <x:v>CIN</x:v>
      </x:c>
      <x:c r="E59" s="12" t="str">
        <x:v>Home</x:v>
      </x:c>
      <x:c r="F59" s="12" t="str">
        <x:v>2026-09-27</x:v>
      </x:c>
      <x:c r="G59" s="19" t="n">
        <x:v>1</x:v>
      </x:c>
      <x:c r="H59" s="20" t="str">
        <x:v>ACTIVE</x:v>
      </x:c>
      <x:c r="I59" s="20" t="n">
        <x:v>36</x:v>
      </x:c>
      <x:c r="J59" s="20" t="str">
        <x:v>Opportunities</x:v>
      </x:c>
      <x:c r="K59" s="20" t="n">
        <x:v>12.959514170040485</x:v>
      </x:c>
      <x:c r="L59" s="21" t="n">
        <x:v>0</x:v>
      </x:c>
      <x:c r="M59" s="21" t="n">
        <x:v>0</x:v>
      </x:c>
      <x:c r="N59" s="21" t="n">
        <x:v>0</x:v>
      </x:c>
      <x:c r="O59" s="21" t="n">
        <x:v>0</x:v>
      </x:c>
      <x:c r="P59" s="21" t="n">
        <x:v>0</x:v>
      </x:c>
      <x:c r="Q59" s="21" t="n">
        <x:v>0</x:v>
      </x:c>
      <x:c r="R59" s="21" t="n">
        <x:v>0</x:v>
      </x:c>
      <x:c r="S59" s="21" t="n">
        <x:v>0</x:v>
      </x:c>
      <x:c r="T59" s="21" t="n">
        <x:v>10.210526315789473</x:v>
      </x:c>
      <x:c r="U59" s="21" t="n">
        <x:v>46.90307368421053</x:v>
      </x:c>
      <x:c r="V59" s="21" t="n">
        <x:v>0.3234694736842106</x:v>
      </x:c>
      <x:c r="W59" s="21" t="n">
        <x:v>2.748987854251012</x:v>
      </x:c>
      <x:c r="X59" s="21" t="n">
        <x:v>2.1206477732793525</x:v>
      </x:c>
      <x:c r="Y59" s="21" t="n">
        <x:v>17.79082105263158</x:v>
      </x:c>
      <x:c r="Z59" s="21" t="n">
        <x:v>0.08086736842105265</x:v>
      </x:c>
      <x:c r="AA59" s="21" t="n">
        <x:v>0</x:v>
      </x:c>
      <x:c r="AB59" s="21" t="n">
        <x:v>0</x:v>
      </x:c>
      <x:c r="AC59" s="21" t="n">
        <x:v>0</x:v>
      </x:c>
      <x:c r="AD59" s="21" t="n">
        <x:v>0</x:v>
      </x:c>
      <x:c r="AE59" s="21" t="n">
        <x:v>0</x:v>
      </x:c>
      <x:c r="AF59" s="21" t="n">
        <x:v>0</x:v>
      </x:c>
      <x:c r="AG59" s="21" t="n">
        <x:v>0</x:v>
      </x:c>
      <x:c r="AH59" s="21" t="n">
        <x:v>0</x:v>
      </x:c>
      <x:c r="AI59" s="21" t="n">
        <x:v>0</x:v>
      </x:c>
      <x:c r="AJ59" s="21" t="n">
        <x:v>0</x:v>
      </x:c>
      <x:c r="AK59" s="21" t="n">
        <x:v>0</x:v>
      </x:c>
      <x:c r="AL59" s="21" t="n">
        <x:v>0</x:v>
      </x:c>
      <x:c r="AM59" s="21" t="n">
        <x:v>1</x:v>
      </x:c>
      <x:c r="AN59" s="21" t="n">
        <x:v>1</x:v>
      </x:c>
      <x:c r="AO59" s="21" t="n">
        <x:v>1</x:v>
      </x:c>
      <x:c r="AP59" s="21" t="n">
        <x:v>0.99</x:v>
      </x:c>
      <x:c r="AQ59" s="21" t="n">
        <x:v>1.04</x:v>
      </x:c>
      <x:c r="AR59" s="21" t="n">
        <x:v>1</x:v>
      </x:c>
      <x:c r="AS59" s="21" t="n">
        <x:v>1</x:v>
      </x:c>
      <x:c r="AT59" s="21" t="n">
        <x:v>1</x:v>
      </x:c>
      <x:c r="AU59" s="21" t="n">
        <x:v>0</x:v>
      </x:c>
      <x:c r="AV59" s="22" t="n">
        <x:f>IF(C59="QB",N59*0.04+O59*4-P59*2+R59*0.1+S59*6,IF(OR(C59="RB",C59="WR",C59="TE"),U59*0.1+V59*6+R59*0.1+S59*6+X59*0.5+Y59*0.1+Z59*6,IF(C59="K",AC59*3+AD59*4+AE59*5+AF59,IF(C59="DST",AG59+AH59*2+AI59*6+AL59,0))))</x:f>
        <x:v>9.955734412955469</x:v>
      </x:c>
      <x:c r="AW59" s="22" t="n">
        <x:f>(AV59+AU59)*G59</x:f>
        <x:v>9.955734412955469</x:v>
      </x:c>
      <x:c r="AX59" s="22" t="n">
        <x:f>MAX(0,AW59*IF(C59="QB",0.68,IF(C59="RB",0.58,IF(C59="WR",0.52,IF(C59="TE",0.50,IF(C59="K",0.55,0.40))))))</x:f>
        <x:v>5.774325959514171</x:v>
      </x:c>
      <x:c r="AY59" s="22" t="n">
        <x:f>AW59*IF(C59="QB",1.32,IF(C59="RB",1.45,IF(C59="WR",1.55,IF(C59="TE",1.60,IF(C59="K",1.45,1.65)))))</x:f>
        <x:v>14.435814898785429</x:v>
      </x:c>
      <x:c r="AZ59" s="12" t="str">
        <x:v>High</x:v>
      </x:c>
      <x:c r="BA59" s="12" t="n">
        <x:v>3</x:v>
      </x:c>
      <x:c r="BB59" s="12" t="n">
        <x:f>COUNTIFS($C$2:$C$344,C59,$AW$2:$AW$344,"&gt;"&amp;AW59,$G$2:$G$344,"&gt;0")+COUNTIFS($C$2:C59,C59,$AW$2:AW59,AW59,$G$2:G59,"&gt;0")</x:f>
        <x:v>23</x:v>
      </x:c>
      <x:c r="BC59" s="12" t="n">
        <x:v>23</x:v>
      </x:c>
      <x:c r="BD59" s="12" t="str">
        <x:f>IF(BB59&lt;BC59,"↑",IF(BB59&gt;BC59,"↓","→"))</x:f>
        <x:v>→</x:v>
      </x:c>
      <x:c r="BE59" s="23" t="str">
        <x:v>Fantasy Football Brief ROS baseline; official NFL schedule</x:v>
      </x:c>
      <x:c r="BF59" s="23" t="str">
        <x:v>Current role and availability baseline; all adjustment factors shown numerically</x:v>
      </x:c>
      <x:c r="BG59" s="23" t="str">
        <x:v>Material injury, depth-chart, or role change</x:v>
      </x:c>
      <x:c r="BH59" s="24" t="str">
        <x:v>2026-09-23 10:35 CT</x:v>
      </x:c>
    </x:row>
    <x:row r="60">
      <x:c r="A60" s="12" t="str">
        <x:v>Bhayshul Tuten</x:v>
      </x:c>
      <x:c r="B60" s="12" t="str">
        <x:v>JAC</x:v>
      </x:c>
      <x:c r="C60" s="12" t="str">
        <x:v>RB</x:v>
      </x:c>
      <x:c r="D60" s="12" t="str">
        <x:v>NE</x:v>
      </x:c>
      <x:c r="E60" s="12" t="str">
        <x:v>Home</x:v>
      </x:c>
      <x:c r="F60" s="12" t="str">
        <x:v>2026-09-27</x:v>
      </x:c>
      <x:c r="G60" s="19" t="n">
        <x:v>1</x:v>
      </x:c>
      <x:c r="H60" s="20" t="str">
        <x:v>ACTIVE</x:v>
      </x:c>
      <x:c r="I60" s="20" t="n">
        <x:v>36</x:v>
      </x:c>
      <x:c r="J60" s="20" t="str">
        <x:v>Opportunities</x:v>
      </x:c>
      <x:c r="K60" s="20" t="n">
        <x:v>12.959514170040485</x:v>
      </x:c>
      <x:c r="L60" s="21" t="n">
        <x:v>0</x:v>
      </x:c>
      <x:c r="M60" s="21" t="n">
        <x:v>0</x:v>
      </x:c>
      <x:c r="N60" s="21" t="n">
        <x:v>0</x:v>
      </x:c>
      <x:c r="O60" s="21" t="n">
        <x:v>0</x:v>
      </x:c>
      <x:c r="P60" s="21" t="n">
        <x:v>0</x:v>
      </x:c>
      <x:c r="Q60" s="21" t="n">
        <x:v>0</x:v>
      </x:c>
      <x:c r="R60" s="21" t="n">
        <x:v>0</x:v>
      </x:c>
      <x:c r="S60" s="21" t="n">
        <x:v>0</x:v>
      </x:c>
      <x:c r="T60" s="21" t="n">
        <x:v>10.210526315789473</x:v>
      </x:c>
      <x:c r="U60" s="21" t="n">
        <x:v>45.554655870445345</x:v>
      </x:c>
      <x:c r="V60" s="21" t="n">
        <x:v>0.31417004048582997</x:v>
      </x:c>
      <x:c r="W60" s="21" t="n">
        <x:v>2.748987854251012</x:v>
      </x:c>
      <x:c r="X60" s="21" t="n">
        <x:v>2.1206477732793525</x:v>
      </x:c>
      <x:c r="Y60" s="21" t="n">
        <x:v>17.279352226720647</x:v>
      </x:c>
      <x:c r="Z60" s="21" t="n">
        <x:v>0.07854251012145749</x:v>
      </x:c>
      <x:c r="AA60" s="21" t="n">
        <x:v>0</x:v>
      </x:c>
      <x:c r="AB60" s="21" t="n">
        <x:v>0</x:v>
      </x:c>
      <x:c r="AC60" s="21" t="n">
        <x:v>0</x:v>
      </x:c>
      <x:c r="AD60" s="21" t="n">
        <x:v>0</x:v>
      </x:c>
      <x:c r="AE60" s="21" t="n">
        <x:v>0</x:v>
      </x:c>
      <x:c r="AF60" s="21" t="n">
        <x:v>0</x:v>
      </x:c>
      <x:c r="AG60" s="21" t="n">
        <x:v>0</x:v>
      </x:c>
      <x:c r="AH60" s="21" t="n">
        <x:v>0</x:v>
      </x:c>
      <x:c r="AI60" s="21" t="n">
        <x:v>0</x:v>
      </x:c>
      <x:c r="AJ60" s="21" t="n">
        <x:v>0</x:v>
      </x:c>
      <x:c r="AK60" s="21" t="n">
        <x:v>0</x:v>
      </x:c>
      <x:c r="AL60" s="21" t="n">
        <x:v>0</x:v>
      </x:c>
      <x:c r="AM60" s="21" t="n">
        <x:v>1</x:v>
      </x:c>
      <x:c r="AN60" s="21" t="n">
        <x:v>1</x:v>
      </x:c>
      <x:c r="AO60" s="21" t="n">
        <x:v>1</x:v>
      </x:c>
      <x:c r="AP60" s="21" t="n">
        <x:v>1</x:v>
      </x:c>
      <x:c r="AQ60" s="21" t="n">
        <x:v>1</x:v>
      </x:c>
      <x:c r="AR60" s="21" t="n">
        <x:v>1</x:v>
      </x:c>
      <x:c r="AS60" s="21" t="n">
        <x:v>1</x:v>
      </x:c>
      <x:c r="AT60" s="21" t="n">
        <x:v>1</x:v>
      </x:c>
      <x:c r="AU60" s="21" t="n">
        <x:v>0</x:v>
      </x:c>
      <x:c r="AV60" s="22" t="n">
        <x:f>IF(C60="QB",N60*0.04+O60*4-P60*2+R60*0.1+S60*6,IF(OR(C60="RB",C60="WR",C60="TE"),U60*0.1+V60*6+R60*0.1+S60*6+X60*0.5+Y60*0.1+Z60*6,IF(C60="K",AC60*3+AD60*4+AE60*5+AF60,IF(C60="DST",AG60+AH60*2+AI60*6+AL60,0))))</x:f>
        <x:v>9.700000000000001</x:v>
      </x:c>
      <x:c r="AW60" s="22" t="n">
        <x:f>(AV60+AU60)*G60</x:f>
        <x:v>9.700000000000001</x:v>
      </x:c>
      <x:c r="AX60" s="22" t="n">
        <x:f>MAX(0,AW60*IF(C60="QB",0.68,IF(C60="RB",0.58,IF(C60="WR",0.52,IF(C60="TE",0.50,IF(C60="K",0.55,0.40))))))</x:f>
        <x:v>5.626</x:v>
      </x:c>
      <x:c r="AY60" s="22" t="n">
        <x:f>AW60*IF(C60="QB",1.32,IF(C60="RB",1.45,IF(C60="WR",1.55,IF(C60="TE",1.60,IF(C60="K",1.45,1.65)))))</x:f>
        <x:v>14.065000000000001</x:v>
      </x:c>
      <x:c r="AZ60" s="12" t="str">
        <x:v>High</x:v>
      </x:c>
      <x:c r="BA60" s="12" t="n">
        <x:v>3</x:v>
      </x:c>
      <x:c r="BB60" s="12" t="n">
        <x:f>COUNTIFS($C$2:$C$344,C60,$AW$2:$AW$344,"&gt;"&amp;AW60,$G$2:$G$344,"&gt;0")+COUNTIFS($C$2:C60,C60,$AW$2:AW60,AW60,$G$2:G60,"&gt;0")</x:f>
        <x:v>24</x:v>
      </x:c>
      <x:c r="BC60" s="12" t="n">
        <x:v>24</x:v>
      </x:c>
      <x:c r="BD60" s="12" t="str">
        <x:f>IF(BB60&lt;BC60,"↑",IF(BB60&gt;BC60,"↓","→"))</x:f>
        <x:v>→</x:v>
      </x:c>
      <x:c r="BE60" s="23" t="str">
        <x:v>Fantasy Football Brief ROS baseline; official NFL schedule</x:v>
      </x:c>
      <x:c r="BF60" s="23" t="str">
        <x:v>Current role and availability baseline; all adjustment factors shown numerically</x:v>
      </x:c>
      <x:c r="BG60" s="23" t="str">
        <x:v>Material injury, depth-chart, or role change</x:v>
      </x:c>
      <x:c r="BH60" s="24" t="str">
        <x:v>2026-09-23 10:35 CT</x:v>
      </x:c>
    </x:row>
    <x:row r="61">
      <x:c r="A61" s="12" t="str">
        <x:v>Cam Skattebo</x:v>
      </x:c>
      <x:c r="B61" s="12" t="str">
        <x:v>NYG</x:v>
      </x:c>
      <x:c r="C61" s="12" t="str">
        <x:v>RB</x:v>
      </x:c>
      <x:c r="D61" s="12" t="str">
        <x:v>TEN</x:v>
      </x:c>
      <x:c r="E61" s="12" t="str">
        <x:v>Home</x:v>
      </x:c>
      <x:c r="F61" s="12" t="str">
        <x:v>2026-09-27</x:v>
      </x:c>
      <x:c r="G61" s="19" t="n">
        <x:v>1</x:v>
      </x:c>
      <x:c r="H61" s="20" t="str">
        <x:v>ACTIVE</x:v>
      </x:c>
      <x:c r="I61" s="20" t="n">
        <x:v>36</x:v>
      </x:c>
      <x:c r="J61" s="20" t="str">
        <x:v>Opportunities</x:v>
      </x:c>
      <x:c r="K61" s="20" t="n">
        <x:v>13.093117408906883</x:v>
      </x:c>
      <x:c r="L61" s="21" t="n">
        <x:v>0</x:v>
      </x:c>
      <x:c r="M61" s="21" t="n">
        <x:v>0</x:v>
      </x:c>
      <x:c r="N61" s="21" t="n">
        <x:v>0</x:v>
      </x:c>
      <x:c r="O61" s="21" t="n">
        <x:v>0</x:v>
      </x:c>
      <x:c r="P61" s="21" t="n">
        <x:v>0</x:v>
      </x:c>
      <x:c r="Q61" s="21" t="n">
        <x:v>0</x:v>
      </x:c>
      <x:c r="R61" s="21" t="n">
        <x:v>0</x:v>
      </x:c>
      <x:c r="S61" s="21" t="n">
        <x:v>0</x:v>
      </x:c>
      <x:c r="T61" s="21" t="n">
        <x:v>10.31578947368421</x:v>
      </x:c>
      <x:c r="U61" s="21" t="n">
        <x:v>45.06698623481781</x:v>
      </x:c>
      <x:c r="V61" s="21" t="n">
        <x:v>0.31080680161943325</x:v>
      </x:c>
      <x:c r="W61" s="21" t="n">
        <x:v>2.7773279352226723</x:v>
      </x:c>
      <x:c r="X61" s="21" t="n">
        <x:v>2.0353846153846153</x:v>
      </x:c>
      <x:c r="Y61" s="21" t="n">
        <x:v>15.384936680161942</x:v>
      </x:c>
      <x:c r="Z61" s="21" t="n">
        <x:v>0.06604644534412957</x:v>
      </x:c>
      <x:c r="AA61" s="21" t="n">
        <x:v>0</x:v>
      </x:c>
      <x:c r="AB61" s="21" t="n">
        <x:v>0</x:v>
      </x:c>
      <x:c r="AC61" s="21" t="n">
        <x:v>0</x:v>
      </x:c>
      <x:c r="AD61" s="21" t="n">
        <x:v>0</x:v>
      </x:c>
      <x:c r="AE61" s="21" t="n">
        <x:v>0</x:v>
      </x:c>
      <x:c r="AF61" s="21" t="n">
        <x:v>0</x:v>
      </x:c>
      <x:c r="AG61" s="21" t="n">
        <x:v>0</x:v>
      </x:c>
      <x:c r="AH61" s="21" t="n">
        <x:v>0</x:v>
      </x:c>
      <x:c r="AI61" s="21" t="n">
        <x:v>0</x:v>
      </x:c>
      <x:c r="AJ61" s="21" t="n">
        <x:v>0</x:v>
      </x:c>
      <x:c r="AK61" s="21" t="n">
        <x:v>0</x:v>
      </x:c>
      <x:c r="AL61" s="21" t="n">
        <x:v>0</x:v>
      </x:c>
      <x:c r="AM61" s="21" t="n">
        <x:v>1</x:v>
      </x:c>
      <x:c r="AN61" s="21" t="n">
        <x:v>1</x:v>
      </x:c>
      <x:c r="AO61" s="21" t="n">
        <x:v>1</x:v>
      </x:c>
      <x:c r="AP61" s="21" t="n">
        <x:v>0.96</x:v>
      </x:c>
      <x:c r="AQ61" s="21" t="n">
        <x:v>1.02</x:v>
      </x:c>
      <x:c r="AR61" s="21" t="n">
        <x:v>1</x:v>
      </x:c>
      <x:c r="AS61" s="21" t="n">
        <x:v>1</x:v>
      </x:c>
      <x:c r="AT61" s="21" t="n">
        <x:v>1</x:v>
      </x:c>
      <x:c r="AU61" s="21" t="n">
        <x:v>0</x:v>
      </x:c>
      <x:c r="AV61" s="22" t="n">
        <x:f>IF(C61="QB",N61*0.04+O61*4-P61*2+R61*0.1+S61*6,IF(OR(C61="RB",C61="WR",C61="TE"),U61*0.1+V61*6+R61*0.1+S61*6+X61*0.5+Y61*0.1+Z61*6,IF(C61="K",AC61*3+AD61*4+AE61*5+AF61,IF(C61="DST",AG61+AH61*2+AI61*6+AL61,0))))</x:f>
        <x:v>9.32400408097166</x:v>
      </x:c>
      <x:c r="AW61" s="22" t="n">
        <x:f>(AV61+AU61)*G61</x:f>
        <x:v>9.32400408097166</x:v>
      </x:c>
      <x:c r="AX61" s="22" t="n">
        <x:f>MAX(0,AW61*IF(C61="QB",0.68,IF(C61="RB",0.58,IF(C61="WR",0.52,IF(C61="TE",0.50,IF(C61="K",0.55,0.40))))))</x:f>
        <x:v>5.407922366963563</x:v>
      </x:c>
      <x:c r="AY61" s="22" t="n">
        <x:f>AW61*IF(C61="QB",1.32,IF(C61="RB",1.45,IF(C61="WR",1.55,IF(C61="TE",1.60,IF(C61="K",1.45,1.65)))))</x:f>
        <x:v>13.519805917408906</x:v>
      </x:c>
      <x:c r="AZ61" s="12" t="str">
        <x:v>Moderate</x:v>
      </x:c>
      <x:c r="BA61" s="12" t="n">
        <x:v>3</x:v>
      </x:c>
      <x:c r="BB61" s="12" t="n">
        <x:f>COUNTIFS($C$2:$C$344,C61,$AW$2:$AW$344,"&gt;"&amp;AW61,$G$2:$G$344,"&gt;0")+COUNTIFS($C$2:C61,C61,$AW$2:AW61,AW61,$G$2:G61,"&gt;0")</x:f>
        <x:v>25</x:v>
      </x:c>
      <x:c r="BC61" s="12" t="n">
        <x:v>25</x:v>
      </x:c>
      <x:c r="BD61" s="12" t="str">
        <x:f>IF(BB61&lt;BC61,"↑",IF(BB61&gt;BC61,"↓","→"))</x:f>
        <x:v>→</x:v>
      </x:c>
      <x:c r="BE61" s="23" t="str">
        <x:v>https://www.giants.com/news/jaxson-dart-to-miss-rest-of-regular-season-jameis-winston-to-start-quarterback-injury-john-harbaugh</x:v>
      </x:c>
      <x:c r="BF61" s="23" t="str">
        <x:v>Winston efficiency revision: receiving catches x0.95,yards x0.90,TD x0.85; targets/carries retained. More uncertain accuracy and scoring reduce receiver production; unranked residual explicitly retained in team budget.</x:v>
      </x:c>
      <x:c r="BG61" s="23" t="str">
        <x:v>Next official practice report and game-status designation</x:v>
      </x:c>
      <x:c r="BH61" s="24" t="str">
        <x:v>2026-09-24 7:40 PM CT</x:v>
      </x:c>
    </x:row>
    <x:row r="62">
      <x:c r="A62" s="12" t="str">
        <x:v>Travis Etienne Jr.</x:v>
      </x:c>
      <x:c r="B62" s="12" t="str">
        <x:v>NO</x:v>
      </x:c>
      <x:c r="C62" s="12" t="str">
        <x:v>RB</x:v>
      </x:c>
      <x:c r="D62" s="12" t="str">
        <x:v>LV</x:v>
      </x:c>
      <x:c r="E62" s="12" t="str">
        <x:v>Home</x:v>
      </x:c>
      <x:c r="F62" s="12" t="str">
        <x:v>2026-09-27</x:v>
      </x:c>
      <x:c r="G62" s="19" t="n">
        <x:v>1</x:v>
      </x:c>
      <x:c r="H62" s="20" t="str">
        <x:v>ACTIVE</x:v>
      </x:c>
      <x:c r="I62" s="20" t="n">
        <x:v>36</x:v>
      </x:c>
      <x:c r="J62" s="20" t="str">
        <x:v>Opportunities</x:v>
      </x:c>
      <x:c r="K62" s="20" t="n">
        <x:v>12.558704453441297</x:v>
      </x:c>
      <x:c r="L62" s="21" t="n">
        <x:v>0</x:v>
      </x:c>
      <x:c r="M62" s="21" t="n">
        <x:v>0</x:v>
      </x:c>
      <x:c r="N62" s="21" t="n">
        <x:v>0</x:v>
      </x:c>
      <x:c r="O62" s="21" t="n">
        <x:v>0</x:v>
      </x:c>
      <x:c r="P62" s="21" t="n">
        <x:v>0</x:v>
      </x:c>
      <x:c r="Q62" s="21" t="n">
        <x:v>0</x:v>
      </x:c>
      <x:c r="R62" s="21" t="n">
        <x:v>0</x:v>
      </x:c>
      <x:c r="S62" s="21" t="n">
        <x:v>0</x:v>
      </x:c>
      <x:c r="T62" s="21" t="n">
        <x:v>9.894736842105264</x:v>
      </x:c>
      <x:c r="U62" s="21" t="n">
        <x:v>43.70429149797571</x:v>
      </x:c>
      <x:c r="V62" s="21" t="n">
        <x:v>0.30140890688259114</x:v>
      </x:c>
      <x:c r="W62" s="21" t="n">
        <x:v>2.663967611336033</x:v>
      </x:c>
      <x:c r="X62" s="21" t="n">
        <x:v>2.0550607287449396</x:v>
      </x:c>
      <x:c r="Y62" s="21" t="n">
        <x:v>16.57748987854251</x:v>
      </x:c>
      <x:c r="Z62" s="21" t="n">
        <x:v>0.07535222672064779</x:v>
      </x:c>
      <x:c r="AA62" s="21" t="n">
        <x:v>0</x:v>
      </x:c>
      <x:c r="AB62" s="21" t="n">
        <x:v>0</x:v>
      </x:c>
      <x:c r="AC62" s="21" t="n">
        <x:v>0</x:v>
      </x:c>
      <x:c r="AD62" s="21" t="n">
        <x:v>0</x:v>
      </x:c>
      <x:c r="AE62" s="21" t="n">
        <x:v>0</x:v>
      </x:c>
      <x:c r="AF62" s="21" t="n">
        <x:v>0</x:v>
      </x:c>
      <x:c r="AG62" s="21" t="n">
        <x:v>0</x:v>
      </x:c>
      <x:c r="AH62" s="21" t="n">
        <x:v>0</x:v>
      </x:c>
      <x:c r="AI62" s="21" t="n">
        <x:v>0</x:v>
      </x:c>
      <x:c r="AJ62" s="21" t="n">
        <x:v>0</x:v>
      </x:c>
      <x:c r="AK62" s="21" t="n">
        <x:v>0</x:v>
      </x:c>
      <x:c r="AL62" s="21" t="n">
        <x:v>0</x:v>
      </x:c>
      <x:c r="AM62" s="21" t="n">
        <x:v>1</x:v>
      </x:c>
      <x:c r="AN62" s="21" t="n">
        <x:v>1</x:v>
      </x:c>
      <x:c r="AO62" s="21" t="n">
        <x:v>1</x:v>
      </x:c>
      <x:c r="AP62" s="21" t="n">
        <x:v>0.99</x:v>
      </x:c>
      <x:c r="AQ62" s="21" t="n">
        <x:v>1</x:v>
      </x:c>
      <x:c r="AR62" s="21" t="n">
        <x:v>1</x:v>
      </x:c>
      <x:c r="AS62" s="21" t="n">
        <x:v>1</x:v>
      </x:c>
      <x:c r="AT62" s="21" t="n">
        <x:v>1</x:v>
      </x:c>
      <x:c r="AU62" s="21" t="n">
        <x:v>0</x:v>
      </x:c>
      <x:c r="AV62" s="22" t="n">
        <x:f>IF(C62="QB",N62*0.04+O62*4-P62*2+R62*0.1+S62*6,IF(OR(C62="RB",C62="WR",C62="TE"),U62*0.1+V62*6+R62*0.1+S62*6+X62*0.5+Y62*0.1+Z62*6,IF(C62="K",AC62*3+AD62*4+AE62*5+AF62,IF(C62="DST",AG62+AH62*2+AI62*6+AL62,0))))</x:f>
        <x:v>9.316275303643726</x:v>
      </x:c>
      <x:c r="AW62" s="22" t="n">
        <x:f>(AV62+AU62)*G62</x:f>
        <x:v>9.316275303643726</x:v>
      </x:c>
      <x:c r="AX62" s="22" t="n">
        <x:f>MAX(0,AW62*IF(C62="QB",0.68,IF(C62="RB",0.58,IF(C62="WR",0.52,IF(C62="TE",0.50,IF(C62="K",0.55,0.40))))))</x:f>
        <x:v>5.4034396761133605</x:v>
      </x:c>
      <x:c r="AY62" s="22" t="n">
        <x:f>AW62*IF(C62="QB",1.32,IF(C62="RB",1.45,IF(C62="WR",1.55,IF(C62="TE",1.60,IF(C62="K",1.45,1.65)))))</x:f>
        <x:v>13.508599190283404</x:v>
      </x:c>
      <x:c r="AZ62" s="12" t="str">
        <x:v>High</x:v>
      </x:c>
      <x:c r="BA62" s="12" t="n">
        <x:v>3</x:v>
      </x:c>
      <x:c r="BB62" s="12" t="n">
        <x:f>COUNTIFS($C$2:$C$344,C62,$AW$2:$AW$344,"&gt;"&amp;AW62,$G$2:$G$344,"&gt;0")+COUNTIFS($C$2:C62,C62,$AW$2:AW62,AW62,$G$2:G62,"&gt;0")</x:f>
        <x:v>26</x:v>
      </x:c>
      <x:c r="BC62" s="12" t="n">
        <x:v>26</x:v>
      </x:c>
      <x:c r="BD62" s="12" t="str">
        <x:f>IF(BB62&lt;BC62,"↑",IF(BB62&gt;BC62,"↓","→"))</x:f>
        <x:v>→</x:v>
      </x:c>
      <x:c r="BE62" s="23" t="str">
        <x:v>Fantasy Football Brief ROS baseline; official NFL schedule</x:v>
      </x:c>
      <x:c r="BF62" s="23" t="str">
        <x:v>Current role and availability baseline; all adjustment factors shown numerically</x:v>
      </x:c>
      <x:c r="BG62" s="23" t="str">
        <x:v>Material injury, depth-chart, or role change</x:v>
      </x:c>
      <x:c r="BH62" s="24" t="str">
        <x:v>2026-09-23 10:35 CT</x:v>
      </x:c>
    </x:row>
    <x:row r="63">
      <x:c r="A63" s="12" t="str">
        <x:v>Jadarian Price</x:v>
      </x:c>
      <x:c r="B63" s="12" t="str">
        <x:v>SEA</x:v>
      </x:c>
      <x:c r="C63" s="12" t="str">
        <x:v>RB</x:v>
      </x:c>
      <x:c r="D63" s="12" t="str">
        <x:v>WAS</x:v>
      </x:c>
      <x:c r="E63" s="12" t="str">
        <x:v>Away</x:v>
      </x:c>
      <x:c r="F63" s="12" t="str">
        <x:v>2026-09-27</x:v>
      </x:c>
      <x:c r="G63" s="19" t="n">
        <x:v>1</x:v>
      </x:c>
      <x:c r="H63" s="20" t="str">
        <x:v>ACTIVE</x:v>
      </x:c>
      <x:c r="I63" s="20" t="n">
        <x:v>36</x:v>
      </x:c>
      <x:c r="J63" s="20" t="str">
        <x:v>Opportunities</x:v>
      </x:c>
      <x:c r="K63" s="20" t="n">
        <x:v>12.024291497975707</x:v>
      </x:c>
      <x:c r="L63" s="21" t="n">
        <x:v>0</x:v>
      </x:c>
      <x:c r="M63" s="21" t="n">
        <x:v>0</x:v>
      </x:c>
      <x:c r="N63" s="21" t="n">
        <x:v>0</x:v>
      </x:c>
      <x:c r="O63" s="21" t="n">
        <x:v>0</x:v>
      </x:c>
      <x:c r="P63" s="21" t="n">
        <x:v>0</x:v>
      </x:c>
      <x:c r="Q63" s="21" t="n">
        <x:v>0</x:v>
      </x:c>
      <x:c r="R63" s="21" t="n">
        <x:v>0</x:v>
      </x:c>
      <x:c r="S63" s="21" t="n">
        <x:v>0</x:v>
      </x:c>
      <x:c r="T63" s="21" t="n">
        <x:v>9.473684210526315</x:v>
      </x:c>
      <x:c r="U63" s="21" t="n">
        <x:v>42.26720647773279</x:v>
      </x:c>
      <x:c r="V63" s="21" t="n">
        <x:v>0.29149797570850206</x:v>
      </x:c>
      <x:c r="W63" s="21" t="n">
        <x:v>2.5506072874493926</x:v>
      </x:c>
      <x:c r="X63" s="21" t="n">
        <x:v>1.9676113360323888</x:v>
      </x:c>
      <x:c r="Y63" s="21" t="n">
        <x:v>16.032388663967613</x:v>
      </x:c>
      <x:c r="Z63" s="21" t="n">
        <x:v>0.07287449392712551</x:v>
      </x:c>
      <x:c r="AA63" s="21" t="n">
        <x:v>0</x:v>
      </x:c>
      <x:c r="AB63" s="21" t="n">
        <x:v>0</x:v>
      </x:c>
      <x:c r="AC63" s="21" t="n">
        <x:v>0</x:v>
      </x:c>
      <x:c r="AD63" s="21" t="n">
        <x:v>0</x:v>
      </x:c>
      <x:c r="AE63" s="21" t="n">
        <x:v>0</x:v>
      </x:c>
      <x:c r="AF63" s="21" t="n">
        <x:v>0</x:v>
      </x:c>
      <x:c r="AG63" s="21" t="n">
        <x:v>0</x:v>
      </x:c>
      <x:c r="AH63" s="21" t="n">
        <x:v>0</x:v>
      </x:c>
      <x:c r="AI63" s="21" t="n">
        <x:v>0</x:v>
      </x:c>
      <x:c r="AJ63" s="21" t="n">
        <x:v>0</x:v>
      </x:c>
      <x:c r="AK63" s="21" t="n">
        <x:v>0</x:v>
      </x:c>
      <x:c r="AL63" s="21" t="n">
        <x:v>0</x:v>
      </x:c>
      <x:c r="AM63" s="21" t="n">
        <x:v>1</x:v>
      </x:c>
      <x:c r="AN63" s="21" t="n">
        <x:v>1</x:v>
      </x:c>
      <x:c r="AO63" s="21" t="n">
        <x:v>1</x:v>
      </x:c>
      <x:c r="AP63" s="21" t="n">
        <x:v>1</x:v>
      </x:c>
      <x:c r="AQ63" s="21" t="n">
        <x:v>1</x:v>
      </x:c>
      <x:c r="AR63" s="21" t="n">
        <x:v>1</x:v>
      </x:c>
      <x:c r="AS63" s="21" t="n">
        <x:v>1</x:v>
      </x:c>
      <x:c r="AT63" s="21" t="n">
        <x:v>1</x:v>
      </x:c>
      <x:c r="AU63" s="21" t="n">
        <x:v>0</x:v>
      </x:c>
      <x:c r="AV63" s="22" t="n">
        <x:f>IF(C63="QB",N63*0.04+O63*4-P63*2+R63*0.1+S63*6,IF(OR(C63="RB",C63="WR",C63="TE"),U63*0.1+V63*6+R63*0.1+S63*6+X63*0.5+Y63*0.1+Z63*6,IF(C63="K",AC63*3+AD63*4+AE63*5+AF63,IF(C63="DST",AG63+AH63*2+AI63*6+AL63,0))))</x:f>
        <x:v>9</x:v>
      </x:c>
      <x:c r="AW63" s="22" t="n">
        <x:f>(AV63+AU63)*G63</x:f>
        <x:v>9</x:v>
      </x:c>
      <x:c r="AX63" s="22" t="n">
        <x:f>MAX(0,AW63*IF(C63="QB",0.68,IF(C63="RB",0.58,IF(C63="WR",0.52,IF(C63="TE",0.50,IF(C63="K",0.55,0.40))))))</x:f>
        <x:v>5.22</x:v>
      </x:c>
      <x:c r="AY63" s="22" t="n">
        <x:f>AW63*IF(C63="QB",1.32,IF(C63="RB",1.45,IF(C63="WR",1.55,IF(C63="TE",1.60,IF(C63="K",1.45,1.65)))))</x:f>
        <x:v>13.049999999999999</x:v>
      </x:c>
      <x:c r="AZ63" s="12" t="str">
        <x:v>High</x:v>
      </x:c>
      <x:c r="BA63" s="12" t="n">
        <x:v>3</x:v>
      </x:c>
      <x:c r="BB63" s="12" t="n">
        <x:f>COUNTIFS($C$2:$C$344,C63,$AW$2:$AW$344,"&gt;"&amp;AW63,$G$2:$G$344,"&gt;0")+COUNTIFS($C$2:C63,C63,$AW$2:AW63,AW63,$G$2:G63,"&gt;0")</x:f>
        <x:v>27</x:v>
      </x:c>
      <x:c r="BC63" s="12" t="n">
        <x:v>27</x:v>
      </x:c>
      <x:c r="BD63" s="12" t="str">
        <x:f>IF(BB63&lt;BC63,"↑",IF(BB63&gt;BC63,"↓","→"))</x:f>
        <x:v>→</x:v>
      </x:c>
      <x:c r="BE63" s="23" t="str">
        <x:v>Fantasy Football Brief ROS baseline; official NFL schedule</x:v>
      </x:c>
      <x:c r="BF63" s="23" t="str">
        <x:v>Current role and availability baseline; all adjustment factors shown numerically</x:v>
      </x:c>
      <x:c r="BG63" s="23" t="str">
        <x:v>Material injury, depth-chart, or role change</x:v>
      </x:c>
      <x:c r="BH63" s="24" t="str">
        <x:v>2026-09-23 10:35 CT</x:v>
      </x:c>
    </x:row>
    <x:row r="64">
      <x:c r="A64" s="12" t="str">
        <x:v>Jacory Croskey-Merritt</x:v>
      </x:c>
      <x:c r="B64" s="12" t="str">
        <x:v>WAS</x:v>
      </x:c>
      <x:c r="C64" s="12" t="str">
        <x:v>RB</x:v>
      </x:c>
      <x:c r="D64" s="12" t="str">
        <x:v>SEA</x:v>
      </x:c>
      <x:c r="E64" s="12" t="str">
        <x:v>Home</x:v>
      </x:c>
      <x:c r="F64" s="12" t="str">
        <x:v>2026-09-27</x:v>
      </x:c>
      <x:c r="G64" s="19" t="n">
        <x:v>1</x:v>
      </x:c>
      <x:c r="H64" s="20" t="str">
        <x:v>ACTIVE</x:v>
      </x:c>
      <x:c r="I64" s="20" t="n">
        <x:v>36</x:v>
      </x:c>
      <x:c r="J64" s="20" t="str">
        <x:v>Opportunities</x:v>
      </x:c>
      <x:c r="K64" s="20" t="n">
        <x:v>12.024291497975707</x:v>
      </x:c>
      <x:c r="L64" s="21" t="n">
        <x:v>0</x:v>
      </x:c>
      <x:c r="M64" s="21" t="n">
        <x:v>0</x:v>
      </x:c>
      <x:c r="N64" s="21" t="n">
        <x:v>0</x:v>
      </x:c>
      <x:c r="O64" s="21" t="n">
        <x:v>0</x:v>
      </x:c>
      <x:c r="P64" s="21" t="n">
        <x:v>0</x:v>
      </x:c>
      <x:c r="Q64" s="21" t="n">
        <x:v>0</x:v>
      </x:c>
      <x:c r="R64" s="21" t="n">
        <x:v>0</x:v>
      </x:c>
      <x:c r="S64" s="21" t="n">
        <x:v>0</x:v>
      </x:c>
      <x:c r="T64" s="21" t="n">
        <x:v>9.473684210526315</x:v>
      </x:c>
      <x:c r="U64" s="21" t="n">
        <x:v>40.5891983805668</x:v>
      </x:c>
      <x:c r="V64" s="21" t="n">
        <x:v>0.27992550607287453</x:v>
      </x:c>
      <x:c r="W64" s="21" t="n">
        <x:v>2.5506072874493926</x:v>
      </x:c>
      <x:c r="X64" s="21" t="n">
        <x:v>1.9676113360323888</x:v>
      </x:c>
      <x:c r="Y64" s="21" t="n">
        <x:v>15.395902834008098</x:v>
      </x:c>
      <x:c r="Z64" s="21" t="n">
        <x:v>0.06998137651821863</x:v>
      </x:c>
      <x:c r="AA64" s="21" t="n">
        <x:v>0</x:v>
      </x:c>
      <x:c r="AB64" s="21" t="n">
        <x:v>0</x:v>
      </x:c>
      <x:c r="AC64" s="21" t="n">
        <x:v>0</x:v>
      </x:c>
      <x:c r="AD64" s="21" t="n">
        <x:v>0</x:v>
      </x:c>
      <x:c r="AE64" s="21" t="n">
        <x:v>0</x:v>
      </x:c>
      <x:c r="AF64" s="21" t="n">
        <x:v>0</x:v>
      </x:c>
      <x:c r="AG64" s="21" t="n">
        <x:v>0</x:v>
      </x:c>
      <x:c r="AH64" s="21" t="n">
        <x:v>0</x:v>
      </x:c>
      <x:c r="AI64" s="21" t="n">
        <x:v>0</x:v>
      </x:c>
      <x:c r="AJ64" s="21" t="n">
        <x:v>0</x:v>
      </x:c>
      <x:c r="AK64" s="21" t="n">
        <x:v>0</x:v>
      </x:c>
      <x:c r="AL64" s="21" t="n">
        <x:v>0</x:v>
      </x:c>
      <x:c r="AM64" s="21" t="n">
        <x:v>1</x:v>
      </x:c>
      <x:c r="AN64" s="21" t="n">
        <x:v>1</x:v>
      </x:c>
      <x:c r="AO64" s="21" t="n">
        <x:v>1</x:v>
      </x:c>
      <x:c r="AP64" s="21" t="n">
        <x:v>0.97</x:v>
      </x:c>
      <x:c r="AQ64" s="21" t="n">
        <x:v>0.99</x:v>
      </x:c>
      <x:c r="AR64" s="21" t="n">
        <x:v>1</x:v>
      </x:c>
      <x:c r="AS64" s="21" t="n">
        <x:v>1</x:v>
      </x:c>
      <x:c r="AT64" s="21" t="n">
        <x:v>1</x:v>
      </x:c>
      <x:c r="AU64" s="21" t="n">
        <x:v>0</x:v>
      </x:c>
      <x:c r="AV64" s="22" t="n">
        <x:f>IF(C64="QB",N64*0.04+O64*4-P64*2+R64*0.1+S64*6,IF(OR(C64="RB",C64="WR",C64="TE"),U64*0.1+V64*6+R64*0.1+S64*6+X64*0.5+Y64*0.1+Z64*6,IF(C64="K",AC64*3+AD64*4+AE64*5+AF64,IF(C64="DST",AG64+AH64*2+AI64*6+AL64,0))))</x:f>
        <x:v>8.681757085020244</x:v>
      </x:c>
      <x:c r="AW64" s="22" t="n">
        <x:f>(AV64+AU64)*G64</x:f>
        <x:v>8.681757085020244</x:v>
      </x:c>
      <x:c r="AX64" s="22" t="n">
        <x:f>MAX(0,AW64*IF(C64="QB",0.68,IF(C64="RB",0.58,IF(C64="WR",0.52,IF(C64="TE",0.50,IF(C64="K",0.55,0.40))))))</x:f>
        <x:v>5.035419109311741</x:v>
      </x:c>
      <x:c r="AY64" s="22" t="n">
        <x:f>AW64*IF(C64="QB",1.32,IF(C64="RB",1.45,IF(C64="WR",1.55,IF(C64="TE",1.60,IF(C64="K",1.45,1.65)))))</x:f>
        <x:v>12.588547773279354</x:v>
      </x:c>
      <x:c r="AZ64" s="12" t="str">
        <x:v>High</x:v>
      </x:c>
      <x:c r="BA64" s="12" t="n">
        <x:v>3</x:v>
      </x:c>
      <x:c r="BB64" s="12" t="n">
        <x:f>COUNTIFS($C$2:$C$344,C64,$AW$2:$AW$344,"&gt;"&amp;AW64,$G$2:$G$344,"&gt;0")+COUNTIFS($C$2:C64,C64,$AW$2:AW64,AW64,$G$2:G64,"&gt;0")</x:f>
        <x:v>28</x:v>
      </x:c>
      <x:c r="BC64" s="12" t="n">
        <x:v>28</x:v>
      </x:c>
      <x:c r="BD64" s="12" t="str">
        <x:f>IF(BB64&lt;BC64,"↑",IF(BB64&gt;BC64,"↓","→"))</x:f>
        <x:v>→</x:v>
      </x:c>
      <x:c r="BE64" s="23" t="str">
        <x:v>Fantasy Football Brief ROS baseline; official NFL schedule</x:v>
      </x:c>
      <x:c r="BF64" s="23" t="str">
        <x:v>Current role and availability baseline; all adjustment factors shown numerically</x:v>
      </x:c>
      <x:c r="BG64" s="23" t="str">
        <x:v>Material injury, depth-chart, or role change</x:v>
      </x:c>
      <x:c r="BH64" s="24" t="str">
        <x:v>2026-09-23 10:35 CT</x:v>
      </x:c>
    </x:row>
    <x:row r="65">
      <x:c r="A65" s="12" t="str">
        <x:v>Rico Dowdle</x:v>
      </x:c>
      <x:c r="B65" s="12" t="str">
        <x:v>PIT</x:v>
      </x:c>
      <x:c r="C65" s="12" t="str">
        <x:v>RB</x:v>
      </x:c>
      <x:c r="D65" s="12" t="str">
        <x:v>CIN</x:v>
      </x:c>
      <x:c r="E65" s="12" t="str">
        <x:v>Home</x:v>
      </x:c>
      <x:c r="F65" s="12" t="str">
        <x:v>2026-09-27</x:v>
      </x:c>
      <x:c r="G65" s="19" t="n">
        <x:v>1</x:v>
      </x:c>
      <x:c r="H65" s="20" t="str">
        <x:v>ACTIVE</x:v>
      </x:c>
      <x:c r="I65" s="20" t="n">
        <x:v>36</x:v>
      </x:c>
      <x:c r="J65" s="20" t="str">
        <x:v>Opportunities</x:v>
      </x:c>
      <x:c r="K65" s="20" t="n">
        <x:v>11.22267206477733</x:v>
      </x:c>
      <x:c r="L65" s="21" t="n">
        <x:v>0</x:v>
      </x:c>
      <x:c r="M65" s="21" t="n">
        <x:v>0</x:v>
      </x:c>
      <x:c r="N65" s="21" t="n">
        <x:v>0</x:v>
      </x:c>
      <x:c r="O65" s="21" t="n">
        <x:v>0</x:v>
      </x:c>
      <x:c r="P65" s="21" t="n">
        <x:v>0</x:v>
      </x:c>
      <x:c r="Q65" s="21" t="n">
        <x:v>0</x:v>
      </x:c>
      <x:c r="R65" s="21" t="n">
        <x:v>0</x:v>
      </x:c>
      <x:c r="S65" s="21" t="n">
        <x:v>0</x:v>
      </x:c>
      <x:c r="T65" s="21" t="n">
        <x:v>8.842105263157896</x:v>
      </x:c>
      <x:c r="U65" s="21" t="n">
        <x:v>40.61709473684211</x:v>
      </x:c>
      <x:c r="V65" s="21" t="n">
        <x:v>0.2801178947368422</x:v>
      </x:c>
      <x:c r="W65" s="21" t="n">
        <x:v>2.3805668016194335</x:v>
      </x:c>
      <x:c r="X65" s="21" t="n">
        <x:v>1.836437246963563</x:v>
      </x:c>
      <x:c r="Y65" s="21" t="n">
        <x:v>15.406484210526319</x:v>
      </x:c>
      <x:c r="Z65" s="21" t="n">
        <x:v>0.07002947368421054</x:v>
      </x:c>
      <x:c r="AA65" s="21" t="n">
        <x:v>0</x:v>
      </x:c>
      <x:c r="AB65" s="21" t="n">
        <x:v>0</x:v>
      </x:c>
      <x:c r="AC65" s="21" t="n">
        <x:v>0</x:v>
      </x:c>
      <x:c r="AD65" s="21" t="n">
        <x:v>0</x:v>
      </x:c>
      <x:c r="AE65" s="21" t="n">
        <x:v>0</x:v>
      </x:c>
      <x:c r="AF65" s="21" t="n">
        <x:v>0</x:v>
      </x:c>
      <x:c r="AG65" s="21" t="n">
        <x:v>0</x:v>
      </x:c>
      <x:c r="AH65" s="21" t="n">
        <x:v>0</x:v>
      </x:c>
      <x:c r="AI65" s="21" t="n">
        <x:v>0</x:v>
      </x:c>
      <x:c r="AJ65" s="21" t="n">
        <x:v>0</x:v>
      </x:c>
      <x:c r="AK65" s="21" t="n">
        <x:v>0</x:v>
      </x:c>
      <x:c r="AL65" s="21" t="n">
        <x:v>0</x:v>
      </x:c>
      <x:c r="AM65" s="21" t="n">
        <x:v>1</x:v>
      </x:c>
      <x:c r="AN65" s="21" t="n">
        <x:v>1</x:v>
      </x:c>
      <x:c r="AO65" s="21" t="n">
        <x:v>1</x:v>
      </x:c>
      <x:c r="AP65" s="21" t="n">
        <x:v>0.99</x:v>
      </x:c>
      <x:c r="AQ65" s="21" t="n">
        <x:v>1.04</x:v>
      </x:c>
      <x:c r="AR65" s="21" t="n">
        <x:v>1</x:v>
      </x:c>
      <x:c r="AS65" s="21" t="n">
        <x:v>1</x:v>
      </x:c>
      <x:c r="AT65" s="21" t="n">
        <x:v>1</x:v>
      </x:c>
      <x:c r="AU65" s="21" t="n">
        <x:v>0</x:v>
      </x:c>
      <x:c r="AV65" s="22" t="n">
        <x:f>IF(C65="QB",N65*0.04+O65*4-P65*2+R65*0.1+S65*6,IF(OR(C65="RB",C65="WR",C65="TE"),U65*0.1+V65*6+R65*0.1+S65*6+X65*0.5+Y65*0.1+Z65*6,IF(C65="K",AC65*3+AD65*4+AE65*5+AF65,IF(C65="DST",AG65+AH65*2+AI65*6+AL65,0))))</x:f>
        <x:v>8.62146072874494</x:v>
      </x:c>
      <x:c r="AW65" s="22" t="n">
        <x:f>(AV65+AU65)*G65</x:f>
        <x:v>8.62146072874494</x:v>
      </x:c>
      <x:c r="AX65" s="22" t="n">
        <x:f>MAX(0,AW65*IF(C65="QB",0.68,IF(C65="RB",0.58,IF(C65="WR",0.52,IF(C65="TE",0.50,IF(C65="K",0.55,0.40))))))</x:f>
        <x:v>5.000447222672065</x:v>
      </x:c>
      <x:c r="AY65" s="22" t="n">
        <x:f>AW65*IF(C65="QB",1.32,IF(C65="RB",1.45,IF(C65="WR",1.55,IF(C65="TE",1.60,IF(C65="K",1.45,1.65)))))</x:f>
        <x:v>12.501118056680165</x:v>
      </x:c>
      <x:c r="AZ65" s="12" t="str">
        <x:v>High</x:v>
      </x:c>
      <x:c r="BA65" s="12" t="n">
        <x:v>3</x:v>
      </x:c>
      <x:c r="BB65" s="12" t="n">
        <x:f>COUNTIFS($C$2:$C$344,C65,$AW$2:$AW$344,"&gt;"&amp;AW65,$G$2:$G$344,"&gt;0")+COUNTIFS($C$2:C65,C65,$AW$2:AW65,AW65,$G$2:G65,"&gt;0")</x:f>
        <x:v>29</x:v>
      </x:c>
      <x:c r="BC65" s="12" t="n">
        <x:v>29</x:v>
      </x:c>
      <x:c r="BD65" s="12" t="str">
        <x:f>IF(BB65&lt;BC65,"↑",IF(BB65&gt;BC65,"↓","→"))</x:f>
        <x:v>→</x:v>
      </x:c>
      <x:c r="BE65" s="23" t="str">
        <x:v>Fantasy Football Brief ROS baseline; official NFL schedule</x:v>
      </x:c>
      <x:c r="BF65" s="23" t="str">
        <x:v>Current role and availability baseline; all adjustment factors shown numerically</x:v>
      </x:c>
      <x:c r="BG65" s="23" t="str">
        <x:v>Material injury, depth-chart, or role change</x:v>
      </x:c>
      <x:c r="BH65" s="24" t="str">
        <x:v>2026-09-23 10:35 CT</x:v>
      </x:c>
    </x:row>
    <x:row r="66">
      <x:c r="A66" s="12" t="str">
        <x:v>Tony Pollard</x:v>
      </x:c>
      <x:c r="B66" s="12" t="str">
        <x:v>TEN</x:v>
      </x:c>
      <x:c r="C66" s="12" t="str">
        <x:v>RB</x:v>
      </x:c>
      <x:c r="D66" s="12" t="str">
        <x:v>NYG</x:v>
      </x:c>
      <x:c r="E66" s="12" t="str">
        <x:v>Away</x:v>
      </x:c>
      <x:c r="F66" s="12" t="str">
        <x:v>2026-09-27</x:v>
      </x:c>
      <x:c r="G66" s="19" t="n">
        <x:v>1</x:v>
      </x:c>
      <x:c r="H66" s="20" t="str">
        <x:v>ACTIVE</x:v>
      </x:c>
      <x:c r="I66" s="20" t="n">
        <x:v>36</x:v>
      </x:c>
      <x:c r="J66" s="20" t="str">
        <x:v>Opportunities</x:v>
      </x:c>
      <x:c r="K66" s="20" t="n">
        <x:v>11.356275303643725</x:v>
      </x:c>
      <x:c r="L66" s="21" t="n">
        <x:v>0</x:v>
      </x:c>
      <x:c r="M66" s="21" t="n">
        <x:v>0</x:v>
      </x:c>
      <x:c r="N66" s="21" t="n">
        <x:v>0</x:v>
      </x:c>
      <x:c r="O66" s="21" t="n">
        <x:v>0</x:v>
      </x:c>
      <x:c r="P66" s="21" t="n">
        <x:v>0</x:v>
      </x:c>
      <x:c r="Q66" s="21" t="n">
        <x:v>0</x:v>
      </x:c>
      <x:c r="R66" s="21" t="n">
        <x:v>0</x:v>
      </x:c>
      <x:c r="S66" s="21" t="n">
        <x:v>0</x:v>
      </x:c>
      <x:c r="T66" s="21" t="n">
        <x:v>8.947368421052632</x:v>
      </x:c>
      <x:c r="U66" s="21" t="n">
        <x:v>39.47193522267207</x:v>
      </x:c>
      <x:c r="V66" s="21" t="n">
        <x:v>0.2722202429149798</x:v>
      </x:c>
      <x:c r="W66" s="21" t="n">
        <x:v>2.4089068825910935</x:v>
      </x:c>
      <x:c r="X66" s="21" t="n">
        <x:v>1.8582995951417007</x:v>
      </x:c>
      <x:c r="Y66" s="21" t="n">
        <x:v>14.972113360323888</x:v>
      </x:c>
      <x:c r="Z66" s="21" t="n">
        <x:v>0.06805506072874495</x:v>
      </x:c>
      <x:c r="AA66" s="21" t="n">
        <x:v>0</x:v>
      </x:c>
      <x:c r="AB66" s="21" t="n">
        <x:v>0</x:v>
      </x:c>
      <x:c r="AC66" s="21" t="n">
        <x:v>0</x:v>
      </x:c>
      <x:c r="AD66" s="21" t="n">
        <x:v>0</x:v>
      </x:c>
      <x:c r="AE66" s="21" t="n">
        <x:v>0</x:v>
      </x:c>
      <x:c r="AF66" s="21" t="n">
        <x:v>0</x:v>
      </x:c>
      <x:c r="AG66" s="21" t="n">
        <x:v>0</x:v>
      </x:c>
      <x:c r="AH66" s="21" t="n">
        <x:v>0</x:v>
      </x:c>
      <x:c r="AI66" s="21" t="n">
        <x:v>0</x:v>
      </x:c>
      <x:c r="AJ66" s="21" t="n">
        <x:v>0</x:v>
      </x:c>
      <x:c r="AK66" s="21" t="n">
        <x:v>0</x:v>
      </x:c>
      <x:c r="AL66" s="21" t="n">
        <x:v>0</x:v>
      </x:c>
      <x:c r="AM66" s="21" t="n">
        <x:v>1</x:v>
      </x:c>
      <x:c r="AN66" s="21" t="n">
        <x:v>1</x:v>
      </x:c>
      <x:c r="AO66" s="21" t="n">
        <x:v>1</x:v>
      </x:c>
      <x:c r="AP66" s="21" t="n">
        <x:v>0.96</x:v>
      </x:c>
      <x:c r="AQ66" s="21" t="n">
        <x:v>1.03</x:v>
      </x:c>
      <x:c r="AR66" s="21" t="n">
        <x:v>1</x:v>
      </x:c>
      <x:c r="AS66" s="21" t="n">
        <x:v>1</x:v>
      </x:c>
      <x:c r="AT66" s="21" t="n">
        <x:v>1</x:v>
      </x:c>
      <x:c r="AU66" s="21" t="n">
        <x:v>0</x:v>
      </x:c>
      <x:c r="AV66" s="22" t="n">
        <x:f>IF(C66="QB",N66*0.04+O66*4-P66*2+R66*0.1+S66*6,IF(OR(C66="RB",C66="WR",C66="TE"),U66*0.1+V66*6+R66*0.1+S66*6+X66*0.5+Y66*0.1+Z66*6,IF(C66="K",AC66*3+AD66*4+AE66*5+AF66,IF(C66="DST",AG66+AH66*2+AI66*6+AL66,0))))</x:f>
        <x:v>8.415206477732795</x:v>
      </x:c>
      <x:c r="AW66" s="22" t="n">
        <x:f>(AV66+AU66)*G66</x:f>
        <x:v>8.415206477732795</x:v>
      </x:c>
      <x:c r="AX66" s="22" t="n">
        <x:f>MAX(0,AW66*IF(C66="QB",0.68,IF(C66="RB",0.58,IF(C66="WR",0.52,IF(C66="TE",0.50,IF(C66="K",0.55,0.40))))))</x:f>
        <x:v>4.880819757085021</x:v>
      </x:c>
      <x:c r="AY66" s="22" t="n">
        <x:f>AW66*IF(C66="QB",1.32,IF(C66="RB",1.45,IF(C66="WR",1.55,IF(C66="TE",1.60,IF(C66="K",1.45,1.65)))))</x:f>
        <x:v>12.202049392712553</x:v>
      </x:c>
      <x:c r="AZ66" s="12" t="str">
        <x:v>High</x:v>
      </x:c>
      <x:c r="BA66" s="12" t="n">
        <x:v>3</x:v>
      </x:c>
      <x:c r="BB66" s="12" t="n">
        <x:f>COUNTIFS($C$2:$C$344,C66,$AW$2:$AW$344,"&gt;"&amp;AW66,$G$2:$G$344,"&gt;0")+COUNTIFS($C$2:C66,C66,$AW$2:AW66,AW66,$G$2:G66,"&gt;0")</x:f>
        <x:v>30</x:v>
      </x:c>
      <x:c r="BC66" s="12" t="n">
        <x:v>30</x:v>
      </x:c>
      <x:c r="BD66" s="12" t="str">
        <x:f>IF(BB66&lt;BC66,"↑",IF(BB66&gt;BC66,"↓","→"))</x:f>
        <x:v>→</x:v>
      </x:c>
      <x:c r="BE66" s="23" t="str">
        <x:v>Fantasy Football Brief ROS baseline; official NFL schedule</x:v>
      </x:c>
      <x:c r="BF66" s="23" t="str">
        <x:v>Current role and availability baseline; all adjustment factors shown numerically</x:v>
      </x:c>
      <x:c r="BG66" s="23" t="str">
        <x:v>Material injury, depth-chart, or role change</x:v>
      </x:c>
      <x:c r="BH66" s="24" t="str">
        <x:v>2026-09-23 10:35 CT</x:v>
      </x:c>
    </x:row>
    <x:row r="67">
      <x:c r="A67" s="12" t="str">
        <x:v>Rhamondre Stevenson</x:v>
      </x:c>
      <x:c r="B67" s="12" t="str">
        <x:v>NE</x:v>
      </x:c>
      <x:c r="C67" s="12" t="str">
        <x:v>RB</x:v>
      </x:c>
      <x:c r="D67" s="12" t="str">
        <x:v>JAX</x:v>
      </x:c>
      <x:c r="E67" s="12" t="str">
        <x:v>Away</x:v>
      </x:c>
      <x:c r="F67" s="12" t="str">
        <x:v>2026-09-27</x:v>
      </x:c>
      <x:c r="G67" s="19" t="n">
        <x:v>1</x:v>
      </x:c>
      <x:c r="H67" s="20" t="str">
        <x:v>ACTIVE</x:v>
      </x:c>
      <x:c r="I67" s="20" t="n">
        <x:v>36</x:v>
      </x:c>
      <x:c r="J67" s="20" t="str">
        <x:v>Opportunities</x:v>
      </x:c>
      <x:c r="K67" s="20" t="n">
        <x:v>10.68825910931174</x:v>
      </x:c>
      <x:c r="L67" s="21" t="n">
        <x:v>0</x:v>
      </x:c>
      <x:c r="M67" s="21" t="n">
        <x:v>0</x:v>
      </x:c>
      <x:c r="N67" s="21" t="n">
        <x:v>0</x:v>
      </x:c>
      <x:c r="O67" s="21" t="n">
        <x:v>0</x:v>
      </x:c>
      <x:c r="P67" s="21" t="n">
        <x:v>0</x:v>
      </x:c>
      <x:c r="Q67" s="21" t="n">
        <x:v>0</x:v>
      </x:c>
      <x:c r="R67" s="21" t="n">
        <x:v>0</x:v>
      </x:c>
      <x:c r="S67" s="21" t="n">
        <x:v>0</x:v>
      </x:c>
      <x:c r="T67" s="21" t="n">
        <x:v>8.421052631578947</x:v>
      </x:c>
      <x:c r="U67" s="21" t="n">
        <x:v>37.55582186234818</x:v>
      </x:c>
      <x:c r="V67" s="21" t="n">
        <x:v>0.25900566801619435</x:v>
      </x:c>
      <x:c r="W67" s="21" t="n">
        <x:v>2.2672064777327936</x:v>
      </x:c>
      <x:c r="X67" s="21" t="n">
        <x:v>1.7489878542510122</x:v>
      </x:c>
      <x:c r="Y67" s="21" t="n">
        <x:v>14.245311740890688</x:v>
      </x:c>
      <x:c r="Z67" s="21" t="n">
        <x:v>0.06475141700404859</x:v>
      </x:c>
      <x:c r="AA67" s="21" t="n">
        <x:v>0</x:v>
      </x:c>
      <x:c r="AB67" s="21" t="n">
        <x:v>0</x:v>
      </x:c>
      <x:c r="AC67" s="21" t="n">
        <x:v>0</x:v>
      </x:c>
      <x:c r="AD67" s="21" t="n">
        <x:v>0</x:v>
      </x:c>
      <x:c r="AE67" s="21" t="n">
        <x:v>0</x:v>
      </x:c>
      <x:c r="AF67" s="21" t="n">
        <x:v>0</x:v>
      </x:c>
      <x:c r="AG67" s="21" t="n">
        <x:v>0</x:v>
      </x:c>
      <x:c r="AH67" s="21" t="n">
        <x:v>0</x:v>
      </x:c>
      <x:c r="AI67" s="21" t="n">
        <x:v>0</x:v>
      </x:c>
      <x:c r="AJ67" s="21" t="n">
        <x:v>0</x:v>
      </x:c>
      <x:c r="AK67" s="21" t="n">
        <x:v>0</x:v>
      </x:c>
      <x:c r="AL67" s="21" t="n">
        <x:v>0</x:v>
      </x:c>
      <x:c r="AM67" s="21" t="n">
        <x:v>1</x:v>
      </x:c>
      <x:c r="AN67" s="21" t="n">
        <x:v>1</x:v>
      </x:c>
      <x:c r="AO67" s="21" t="n">
        <x:v>1</x:v>
      </x:c>
      <x:c r="AP67" s="21" t="n">
        <x:v>0.98</x:v>
      </x:c>
      <x:c r="AQ67" s="21" t="n">
        <x:v>1.02</x:v>
      </x:c>
      <x:c r="AR67" s="21" t="n">
        <x:v>1</x:v>
      </x:c>
      <x:c r="AS67" s="21" t="n">
        <x:v>1</x:v>
      </x:c>
      <x:c r="AT67" s="21" t="n">
        <x:v>1</x:v>
      </x:c>
      <x:c r="AU67" s="21" t="n">
        <x:v>0</x:v>
      </x:c>
      <x:c r="AV67" s="22" t="n">
        <x:f>IF(C67="QB",N67*0.04+O67*4-P67*2+R67*0.1+S67*6,IF(OR(C67="RB",C67="WR",C67="TE"),U67*0.1+V67*6+R67*0.1+S67*6+X67*0.5+Y67*0.1+Z67*6,IF(C67="K",AC67*3+AD67*4+AE67*5+AF67,IF(C67="DST",AG67+AH67*2+AI67*6+AL67,0))))</x:f>
        <x:v>7.997149797570851</x:v>
      </x:c>
      <x:c r="AW67" s="22" t="n">
        <x:f>(AV67+AU67)*G67</x:f>
        <x:v>7.997149797570851</x:v>
      </x:c>
      <x:c r="AX67" s="22" t="n">
        <x:f>MAX(0,AW67*IF(C67="QB",0.68,IF(C67="RB",0.58,IF(C67="WR",0.52,IF(C67="TE",0.50,IF(C67="K",0.55,0.40))))))</x:f>
        <x:v>4.638346882591094</x:v>
      </x:c>
      <x:c r="AY67" s="22" t="n">
        <x:f>AW67*IF(C67="QB",1.32,IF(C67="RB",1.45,IF(C67="WR",1.55,IF(C67="TE",1.60,IF(C67="K",1.45,1.65)))))</x:f>
        <x:v>11.595867206477735</x:v>
      </x:c>
      <x:c r="AZ67" s="12" t="str">
        <x:v>High</x:v>
      </x:c>
      <x:c r="BA67" s="12" t="n">
        <x:v>4</x:v>
      </x:c>
      <x:c r="BB67" s="12" t="n">
        <x:f>COUNTIFS($C$2:$C$344,C67,$AW$2:$AW$344,"&gt;"&amp;AW67,$G$2:$G$344,"&gt;0")+COUNTIFS($C$2:C67,C67,$AW$2:AW67,AW67,$G$2:G67,"&gt;0")</x:f>
        <x:v>31</x:v>
      </x:c>
      <x:c r="BC67" s="12" t="n">
        <x:v>32</x:v>
      </x:c>
      <x:c r="BD67" s="12" t="str">
        <x:f>IF(BB67&lt;BC67,"↑",IF(BB67&gt;BC67,"↓","→"))</x:f>
        <x:v>↑</x:v>
      </x:c>
      <x:c r="BE67" s="23" t="str">
        <x:v>Fantasy Football Brief ROS baseline; official NFL schedule</x:v>
      </x:c>
      <x:c r="BF67" s="23" t="str">
        <x:v>Current role and availability baseline; all adjustment factors shown numerically</x:v>
      </x:c>
      <x:c r="BG67" s="23" t="str">
        <x:v>Material injury, depth-chart, or role change</x:v>
      </x:c>
      <x:c r="BH67" s="24" t="str">
        <x:v>2026-09-23 10:35 CT</x:v>
      </x:c>
    </x:row>
    <x:row r="68">
      <x:c r="A68" s="12" t="str">
        <x:v>Chuba Hubbard</x:v>
      </x:c>
      <x:c r="B68" s="12" t="str">
        <x:v>CAR</x:v>
      </x:c>
      <x:c r="C68" s="12" t="str">
        <x:v>RB</x:v>
      </x:c>
      <x:c r="D68" s="12" t="str">
        <x:v>CLE</x:v>
      </x:c>
      <x:c r="E68" s="12" t="str">
        <x:v>Away</x:v>
      </x:c>
      <x:c r="F68" s="12" t="str">
        <x:v>2026-09-27</x:v>
      </x:c>
      <x:c r="G68" s="19" t="n">
        <x:v>1</x:v>
      </x:c>
      <x:c r="H68" s="20" t="str">
        <x:v>ACTIVE</x:v>
      </x:c>
      <x:c r="I68" s="20" t="n">
        <x:v>36</x:v>
      </x:c>
      <x:c r="J68" s="20" t="str">
        <x:v>Opportunities</x:v>
      </x:c>
      <x:c r="K68" s="20" t="n">
        <x:v>10.821862348178136</x:v>
      </x:c>
      <x:c r="L68" s="21" t="n">
        <x:v>0</x:v>
      </x:c>
      <x:c r="M68" s="21" t="n">
        <x:v>0</x:v>
      </x:c>
      <x:c r="N68" s="21" t="n">
        <x:v>0</x:v>
      </x:c>
      <x:c r="O68" s="21" t="n">
        <x:v>0</x:v>
      </x:c>
      <x:c r="P68" s="21" t="n">
        <x:v>0</x:v>
      </x:c>
      <x:c r="Q68" s="21" t="n">
        <x:v>0</x:v>
      </x:c>
      <x:c r="R68" s="21" t="n">
        <x:v>0</x:v>
      </x:c>
      <x:c r="S68" s="21" t="n">
        <x:v>0</x:v>
      </x:c>
      <x:c r="T68" s="21" t="n">
        <x:v>8.526315789473683</x:v>
      </x:c>
      <x:c r="U68" s="21" t="n">
        <x:v>36.53408259109312</x:v>
      </x:c>
      <x:c r="V68" s="21" t="n">
        <x:v>0.2519591902834008</x:v>
      </x:c>
      <x:c r="W68" s="21" t="n">
        <x:v>2.2955465587044532</x:v>
      </x:c>
      <x:c r="X68" s="21" t="n">
        <x:v>1.77085020242915</x:v>
      </x:c>
      <x:c r="Y68" s="21" t="n">
        <x:v>13.857755465587042</x:v>
      </x:c>
      <x:c r="Z68" s="21" t="n">
        <x:v>0.0629897975708502</x:v>
      </x:c>
      <x:c r="AA68" s="21" t="n">
        <x:v>0</x:v>
      </x:c>
      <x:c r="AB68" s="21" t="n">
        <x:v>0</x:v>
      </x:c>
      <x:c r="AC68" s="21" t="n">
        <x:v>0</x:v>
      </x:c>
      <x:c r="AD68" s="21" t="n">
        <x:v>0</x:v>
      </x:c>
      <x:c r="AE68" s="21" t="n">
        <x:v>0</x:v>
      </x:c>
      <x:c r="AF68" s="21" t="n">
        <x:v>0</x:v>
      </x:c>
      <x:c r="AG68" s="21" t="n">
        <x:v>0</x:v>
      </x:c>
      <x:c r="AH68" s="21" t="n">
        <x:v>0</x:v>
      </x:c>
      <x:c r="AI68" s="21" t="n">
        <x:v>0</x:v>
      </x:c>
      <x:c r="AJ68" s="21" t="n">
        <x:v>0</x:v>
      </x:c>
      <x:c r="AK68" s="21" t="n">
        <x:v>0</x:v>
      </x:c>
      <x:c r="AL68" s="21" t="n">
        <x:v>0</x:v>
      </x:c>
      <x:c r="AM68" s="21" t="n">
        <x:v>1</x:v>
      </x:c>
      <x:c r="AN68" s="21" t="n">
        <x:v>1</x:v>
      </x:c>
      <x:c r="AO68" s="21" t="n">
        <x:v>1</x:v>
      </x:c>
      <x:c r="AP68" s="21" t="n">
        <x:v>0.98</x:v>
      </x:c>
      <x:c r="AQ68" s="21" t="n">
        <x:v>0.98</x:v>
      </x:c>
      <x:c r="AR68" s="21" t="n">
        <x:v>1</x:v>
      </x:c>
      <x:c r="AS68" s="21" t="n">
        <x:v>1</x:v>
      </x:c>
      <x:c r="AT68" s="21" t="n">
        <x:v>1</x:v>
      </x:c>
      <x:c r="AU68" s="21" t="n">
        <x:v>0</x:v>
      </x:c>
      <x:c r="AV68" s="22" t="n">
        <x:f>IF(C68="QB",N68*0.04+O68*4-P68*2+R68*0.1+S68*6,IF(OR(C68="RB",C68="WR",C68="TE"),U68*0.1+V68*6+R68*0.1+S68*6+X68*0.5+Y68*0.1+Z68*6,IF(C68="K",AC68*3+AD68*4+AE68*5+AF68,IF(C68="DST",AG68+AH68*2+AI68*6+AL68,0))))</x:f>
        <x:v>7.814302834008098</x:v>
      </x:c>
      <x:c r="AW68" s="22" t="n">
        <x:f>(AV68+AU68)*G68</x:f>
        <x:v>7.814302834008098</x:v>
      </x:c>
      <x:c r="AX68" s="22" t="n">
        <x:f>MAX(0,AW68*IF(C68="QB",0.68,IF(C68="RB",0.58,IF(C68="WR",0.52,IF(C68="TE",0.50,IF(C68="K",0.55,0.40))))))</x:f>
        <x:v>4.532295643724696</x:v>
      </x:c>
      <x:c r="AY68" s="22" t="n">
        <x:f>AW68*IF(C68="QB",1.32,IF(C68="RB",1.45,IF(C68="WR",1.55,IF(C68="TE",1.60,IF(C68="K",1.45,1.65)))))</x:f>
        <x:v>11.330739109311741</x:v>
      </x:c>
      <x:c r="AZ68" s="12" t="str">
        <x:v>High</x:v>
      </x:c>
      <x:c r="BA68" s="12" t="n">
        <x:v>4</x:v>
      </x:c>
      <x:c r="BB68" s="12" t="n">
        <x:f>COUNTIFS($C$2:$C$344,C68,$AW$2:$AW$344,"&gt;"&amp;AW68,$G$2:$G$344,"&gt;0")+COUNTIFS($C$2:C68,C68,$AW$2:AW68,AW68,$G$2:G68,"&gt;0")</x:f>
        <x:v>32</x:v>
      </x:c>
      <x:c r="BC68" s="12" t="n">
        <x:v>33</x:v>
      </x:c>
      <x:c r="BD68" s="12" t="str">
        <x:f>IF(BB68&lt;BC68,"↑",IF(BB68&gt;BC68,"↓","→"))</x:f>
        <x:v>↑</x:v>
      </x:c>
      <x:c r="BE68" s="23" t="str">
        <x:v>Fantasy Football Brief ROS baseline; official NFL schedule</x:v>
      </x:c>
      <x:c r="BF68" s="23" t="str">
        <x:v>Current role and availability baseline; all adjustment factors shown numerically</x:v>
      </x:c>
      <x:c r="BG68" s="23" t="str">
        <x:v>Material injury, depth-chart, or role change</x:v>
      </x:c>
      <x:c r="BH68" s="24" t="str">
        <x:v>2026-09-23 10:35 CT</x:v>
      </x:c>
    </x:row>
    <x:row r="69">
      <x:c r="A69" s="12" t="str">
        <x:v>Kyle Monangai</x:v>
      </x:c>
      <x:c r="B69" s="12" t="str">
        <x:v>CHI</x:v>
      </x:c>
      <x:c r="C69" s="12" t="str">
        <x:v>RB</x:v>
      </x:c>
      <x:c r="D69" s="12" t="str">
        <x:v>PHI</x:v>
      </x:c>
      <x:c r="E69" s="12" t="str">
        <x:v>Home</x:v>
      </x:c>
      <x:c r="F69" s="12" t="str">
        <x:v>2026-09-28</x:v>
      </x:c>
      <x:c r="G69" s="19" t="n">
        <x:v>1</x:v>
      </x:c>
      <x:c r="H69" s="20" t="str">
        <x:v>ACTIVE</x:v>
      </x:c>
      <x:c r="I69" s="20" t="n">
        <x:v>36</x:v>
      </x:c>
      <x:c r="J69" s="20" t="str">
        <x:v>Opportunities</x:v>
      </x:c>
      <x:c r="K69" s="20" t="n">
        <x:v>11.22267206477733</x:v>
      </x:c>
      <x:c r="L69" s="21" t="n">
        <x:v>0</x:v>
      </x:c>
      <x:c r="M69" s="21" t="n">
        <x:v>0</x:v>
      </x:c>
      <x:c r="N69" s="21" t="n">
        <x:v>0</x:v>
      </x:c>
      <x:c r="O69" s="21" t="n">
        <x:v>0</x:v>
      </x:c>
      <x:c r="P69" s="21" t="n">
        <x:v>0</x:v>
      </x:c>
      <x:c r="Q69" s="21" t="n">
        <x:v>0</x:v>
      </x:c>
      <x:c r="R69" s="21" t="n">
        <x:v>0</x:v>
      </x:c>
      <x:c r="S69" s="21" t="n">
        <x:v>0</x:v>
      </x:c>
      <x:c r="T69" s="21" t="n">
        <x:v>8.842105263157896</x:v>
      </x:c>
      <x:c r="U69" s="21" t="n">
        <x:v>35.97784615384616</x:v>
      </x:c>
      <x:c r="V69" s="21" t="n">
        <x:v>0.24812307692307695</x:v>
      </x:c>
      <x:c r="W69" s="21" t="n">
        <x:v>2.3805668016194335</x:v>
      </x:c>
      <x:c r="X69" s="21" t="n">
        <x:v>1.836437246963563</x:v>
      </x:c>
      <x:c r="Y69" s="21" t="n">
        <x:v>13.646769230769232</x:v>
      </x:c>
      <x:c r="Z69" s="21" t="n">
        <x:v>0.06203076923076924</x:v>
      </x:c>
      <x:c r="AA69" s="21" t="n">
        <x:v>0</x:v>
      </x:c>
      <x:c r="AB69" s="21" t="n">
        <x:v>0</x:v>
      </x:c>
      <x:c r="AC69" s="21" t="n">
        <x:v>0</x:v>
      </x:c>
      <x:c r="AD69" s="21" t="n">
        <x:v>0</x:v>
      </x:c>
      <x:c r="AE69" s="21" t="n">
        <x:v>0</x:v>
      </x:c>
      <x:c r="AF69" s="21" t="n">
        <x:v>0</x:v>
      </x:c>
      <x:c r="AG69" s="21" t="n">
        <x:v>0</x:v>
      </x:c>
      <x:c r="AH69" s="21" t="n">
        <x:v>0</x:v>
      </x:c>
      <x:c r="AI69" s="21" t="n">
        <x:v>0</x:v>
      </x:c>
      <x:c r="AJ69" s="21" t="n">
        <x:v>0</x:v>
      </x:c>
      <x:c r="AK69" s="21" t="n">
        <x:v>0</x:v>
      </x:c>
      <x:c r="AL69" s="21" t="n">
        <x:v>0</x:v>
      </x:c>
      <x:c r="AM69" s="21" t="n">
        <x:v>1</x:v>
      </x:c>
      <x:c r="AN69" s="21" t="n">
        <x:v>1</x:v>
      </x:c>
      <x:c r="AO69" s="21" t="n">
        <x:v>1</x:v>
      </x:c>
      <x:c r="AP69" s="21" t="n">
        <x:v>0.96</x:v>
      </x:c>
      <x:c r="AQ69" s="21" t="n">
        <x:v>0.95</x:v>
      </x:c>
      <x:c r="AR69" s="21" t="n">
        <x:v>1</x:v>
      </x:c>
      <x:c r="AS69" s="21" t="n">
        <x:v>1</x:v>
      </x:c>
      <x:c r="AT69" s="21" t="n">
        <x:v>1</x:v>
      </x:c>
      <x:c r="AU69" s="21" t="n">
        <x:v>0</x:v>
      </x:c>
      <x:c r="AV69" s="22" t="n">
        <x:f>IF(C69="QB",N69*0.04+O69*4-P69*2+R69*0.1+S69*6,IF(OR(C69="RB",C69="WR",C69="TE"),U69*0.1+V69*6+R69*0.1+S69*6+X69*0.5+Y69*0.1+Z69*6,IF(C69="K",AC69*3+AD69*4+AE69*5+AF69,IF(C69="DST",AG69+AH69*2+AI69*6+AL69,0))))</x:f>
        <x:v>7.741603238866397</x:v>
      </x:c>
      <x:c r="AW69" s="22" t="n">
        <x:f>(AV69+AU69)*G69</x:f>
        <x:v>7.741603238866397</x:v>
      </x:c>
      <x:c r="AX69" s="22" t="n">
        <x:f>MAX(0,AW69*IF(C69="QB",0.68,IF(C69="RB",0.58,IF(C69="WR",0.52,IF(C69="TE",0.50,IF(C69="K",0.55,0.40))))))</x:f>
        <x:v>4.49012987854251</x:v>
      </x:c>
      <x:c r="AY69" s="22" t="n">
        <x:f>AW69*IF(C69="QB",1.32,IF(C69="RB",1.45,IF(C69="WR",1.55,IF(C69="TE",1.60,IF(C69="K",1.45,1.65)))))</x:f>
        <x:v>11.225324696356276</x:v>
      </x:c>
      <x:c r="AZ69" s="12" t="str">
        <x:v>High</x:v>
      </x:c>
      <x:c r="BA69" s="12" t="n">
        <x:v>4</x:v>
      </x:c>
      <x:c r="BB69" s="12" t="n">
        <x:f>COUNTIFS($C$2:$C$344,C69,$AW$2:$AW$344,"&gt;"&amp;AW69,$G$2:$G$344,"&gt;0")+COUNTIFS($C$2:C69,C69,$AW$2:AW69,AW69,$G$2:G69,"&gt;0")</x:f>
        <x:v>33</x:v>
      </x:c>
      <x:c r="BC69" s="12" t="n">
        <x:v>34</x:v>
      </x:c>
      <x:c r="BD69" s="12" t="str">
        <x:f>IF(BB69&lt;BC69,"↑",IF(BB69&gt;BC69,"↓","→"))</x:f>
        <x:v>↑</x:v>
      </x:c>
      <x:c r="BE69" s="23" t="str">
        <x:v>Fantasy Football Brief ROS baseline; official NFL schedule</x:v>
      </x:c>
      <x:c r="BF69" s="23" t="str">
        <x:v>Current role and availability baseline; all adjustment factors shown numerically</x:v>
      </x:c>
      <x:c r="BG69" s="23" t="str">
        <x:v>Material injury, depth-chart, or role change</x:v>
      </x:c>
      <x:c r="BH69" s="24" t="str">
        <x:v>2026-09-23 10:35 CT</x:v>
      </x:c>
    </x:row>
    <x:row r="70">
      <x:c r="A70" s="12" t="str">
        <x:v>Kenny Gainwell</x:v>
      </x:c>
      <x:c r="B70" s="12" t="str">
        <x:v>TB</x:v>
      </x:c>
      <x:c r="C70" s="12" t="str">
        <x:v>RB</x:v>
      </x:c>
      <x:c r="D70" s="12" t="str">
        <x:v>MIN</x:v>
      </x:c>
      <x:c r="E70" s="12" t="str">
        <x:v>Home</x:v>
      </x:c>
      <x:c r="F70" s="12" t="str">
        <x:v>2026-09-27</x:v>
      </x:c>
      <x:c r="G70" s="19" t="n">
        <x:v>1</x:v>
      </x:c>
      <x:c r="H70" s="20" t="str">
        <x:v>ACTIVE</x:v>
      </x:c>
      <x:c r="I70" s="20" t="n">
        <x:v>36</x:v>
      </x:c>
      <x:c r="J70" s="20" t="str">
        <x:v>Opportunities</x:v>
      </x:c>
      <x:c r="K70" s="20" t="n">
        <x:v>10.28744939271255</x:v>
      </x:c>
      <x:c r="L70" s="21" t="n">
        <x:v>0</x:v>
      </x:c>
      <x:c r="M70" s="21" t="n">
        <x:v>0</x:v>
      </x:c>
      <x:c r="N70" s="21" t="n">
        <x:v>0</x:v>
      </x:c>
      <x:c r="O70" s="21" t="n">
        <x:v>0</x:v>
      </x:c>
      <x:c r="P70" s="21" t="n">
        <x:v>0</x:v>
      </x:c>
      <x:c r="Q70" s="21" t="n">
        <x:v>0</x:v>
      </x:c>
      <x:c r="R70" s="21" t="n">
        <x:v>0</x:v>
      </x:c>
      <x:c r="S70" s="21" t="n">
        <x:v>0</x:v>
      </x:c>
      <x:c r="T70" s="21" t="n">
        <x:v>8.105263157894736</x:v>
      </x:c>
      <x:c r="U70" s="21" t="n">
        <x:v>36.15832712550608</x:v>
      </x:c>
      <x:c r="V70" s="21" t="n">
        <x:v>0.24936777327935225</x:v>
      </x:c>
      <x:c r="W70" s="21" t="n">
        <x:v>2.182186234817814</x:v>
      </x:c>
      <x:c r="X70" s="21" t="n">
        <x:v>1.6834008097165993</x:v>
      </x:c>
      <x:c r="Y70" s="21" t="n">
        <x:v>13.715227530364372</x:v>
      </x:c>
      <x:c r="Z70" s="21" t="n">
        <x:v>0.06234194331983806</x:v>
      </x:c>
      <x:c r="AA70" s="21" t="n">
        <x:v>0</x:v>
      </x:c>
      <x:c r="AB70" s="21" t="n">
        <x:v>0</x:v>
      </x:c>
      <x:c r="AC70" s="21" t="n">
        <x:v>0</x:v>
      </x:c>
      <x:c r="AD70" s="21" t="n">
        <x:v>0</x:v>
      </x:c>
      <x:c r="AE70" s="21" t="n">
        <x:v>0</x:v>
      </x:c>
      <x:c r="AF70" s="21" t="n">
        <x:v>0</x:v>
      </x:c>
      <x:c r="AG70" s="21" t="n">
        <x:v>0</x:v>
      </x:c>
      <x:c r="AH70" s="21" t="n">
        <x:v>0</x:v>
      </x:c>
      <x:c r="AI70" s="21" t="n">
        <x:v>0</x:v>
      </x:c>
      <x:c r="AJ70" s="21" t="n">
        <x:v>0</x:v>
      </x:c>
      <x:c r="AK70" s="21" t="n">
        <x:v>0</x:v>
      </x:c>
      <x:c r="AL70" s="21" t="n">
        <x:v>0</x:v>
      </x:c>
      <x:c r="AM70" s="21" t="n">
        <x:v>1</x:v>
      </x:c>
      <x:c r="AN70" s="21" t="n">
        <x:v>1</x:v>
      </x:c>
      <x:c r="AO70" s="21" t="n">
        <x:v>1</x:v>
      </x:c>
      <x:c r="AP70" s="21" t="n">
        <x:v>1.01</x:v>
      </x:c>
      <x:c r="AQ70" s="21" t="n">
        <x:v>0.99</x:v>
      </x:c>
      <x:c r="AR70" s="21" t="n">
        <x:v>1</x:v>
      </x:c>
      <x:c r="AS70" s="21" t="n">
        <x:v>1</x:v>
      </x:c>
      <x:c r="AT70" s="21" t="n">
        <x:v>1</x:v>
      </x:c>
      <x:c r="AU70" s="21" t="n">
        <x:v>0</x:v>
      </x:c>
      <x:c r="AV70" s="22" t="n">
        <x:f>IF(C70="QB",N70*0.04+O70*4-P70*2+R70*0.1+S70*6,IF(OR(C70="RB",C70="WR",C70="TE"),U70*0.1+V70*6+R70*0.1+S70*6+X70*0.5+Y70*0.1+Z70*6,IF(C70="K",AC70*3+AD70*4+AE70*5+AF70,IF(C70="DST",AG70+AH70*2+AI70*6+AL70,0))))</x:f>
        <x:v>7.699314170040487</x:v>
      </x:c>
      <x:c r="AW70" s="22" t="n">
        <x:f>(AV70+AU70)*G70</x:f>
        <x:v>7.699314170040487</x:v>
      </x:c>
      <x:c r="AX70" s="22" t="n">
        <x:f>MAX(0,AW70*IF(C70="QB",0.68,IF(C70="RB",0.58,IF(C70="WR",0.52,IF(C70="TE",0.50,IF(C70="K",0.55,0.40))))))</x:f>
        <x:v>4.465602218623482</x:v>
      </x:c>
      <x:c r="AY70" s="22" t="n">
        <x:f>AW70*IF(C70="QB",1.32,IF(C70="RB",1.45,IF(C70="WR",1.55,IF(C70="TE",1.60,IF(C70="K",1.45,1.65)))))</x:f>
        <x:v>11.164005546558705</x:v>
      </x:c>
      <x:c r="AZ70" s="12" t="str">
        <x:v>High</x:v>
      </x:c>
      <x:c r="BA70" s="12" t="n">
        <x:v>4</x:v>
      </x:c>
      <x:c r="BB70" s="12" t="n">
        <x:f>COUNTIFS($C$2:$C$344,C70,$AW$2:$AW$344,"&gt;"&amp;AW70,$G$2:$G$344,"&gt;0")+COUNTIFS($C$2:C70,C70,$AW$2:AW70,AW70,$G$2:G70,"&gt;0")</x:f>
        <x:v>34</x:v>
      </x:c>
      <x:c r="BC70" s="12" t="n">
        <x:v>35</x:v>
      </x:c>
      <x:c r="BD70" s="12" t="str">
        <x:f>IF(BB70&lt;BC70,"↑",IF(BB70&gt;BC70,"↓","→"))</x:f>
        <x:v>↑</x:v>
      </x:c>
      <x:c r="BE70" s="23" t="str">
        <x:v>Fantasy Football Brief ROS baseline; official NFL schedule</x:v>
      </x:c>
      <x:c r="BF70" s="23" t="str">
        <x:v>Current role and availability baseline; all adjustment factors shown numerically</x:v>
      </x:c>
      <x:c r="BG70" s="23" t="str">
        <x:v>Material injury, depth-chart, or role change</x:v>
      </x:c>
      <x:c r="BH70" s="24" t="str">
        <x:v>2026-09-23 10:35 CT</x:v>
      </x:c>
    </x:row>
    <x:row r="71">
      <x:c r="A71" s="12" t="str">
        <x:v>MarShawn Lloyd</x:v>
      </x:c>
      <x:c r="B71" s="12" t="str">
        <x:v>GB</x:v>
      </x:c>
      <x:c r="C71" s="12" t="str">
        <x:v>RB</x:v>
      </x:c>
      <x:c r="D71" s="12" t="str">
        <x:v>ATL</x:v>
      </x:c>
      <x:c r="E71" s="12" t="str">
        <x:v>Home</x:v>
      </x:c>
      <x:c r="F71" s="12" t="str">
        <x:v>2026-09-24</x:v>
      </x:c>
      <x:c r="G71" s="19" t="n">
        <x:v>1</x:v>
      </x:c>
      <x:c r="H71" s="20" t="str">
        <x:v>ACTIVE</x:v>
      </x:c>
      <x:c r="I71" s="20" t="n">
        <x:v>19</x:v>
      </x:c>
      <x:c r="J71" s="20" t="str">
        <x:v>Carries + targets</x:v>
      </x:c>
      <x:c r="K71" s="20" t="n">
        <x:v>8.5</x:v>
      </x:c>
      <x:c r="L71" s="21" t="n">
        <x:v>0</x:v>
      </x:c>
      <x:c r="M71" s="21" t="n">
        <x:v>0</x:v>
      </x:c>
      <x:c r="N71" s="21" t="n">
        <x:v>0</x:v>
      </x:c>
      <x:c r="O71" s="21" t="n">
        <x:v>0</x:v>
      </x:c>
      <x:c r="P71" s="21" t="n">
        <x:v>0</x:v>
      </x:c>
      <x:c r="Q71" s="21" t="n">
        <x:v>0</x:v>
      </x:c>
      <x:c r="R71" s="21" t="n">
        <x:v>0</x:v>
      </x:c>
      <x:c r="S71" s="21" t="n">
        <x:v>0</x:v>
      </x:c>
      <x:c r="T71" s="21" t="n">
        <x:v>7</x:v>
      </x:c>
      <x:c r="U71" s="21" t="n">
        <x:v>28</x:v>
      </x:c>
      <x:c r="V71" s="21" t="n">
        <x:v>0.12</x:v>
      </x:c>
      <x:c r="W71" s="21" t="n">
        <x:v>1.5</x:v>
      </x:c>
      <x:c r="X71" s="21" t="n">
        <x:v>1.2</x:v>
      </x:c>
      <x:c r="Y71" s="21" t="n">
        <x:v>8</x:v>
      </x:c>
      <x:c r="Z71" s="21" t="n">
        <x:v>0.03</x:v>
      </x:c>
      <x:c r="AA71" s="21" t="n">
        <x:v>8</x:v>
      </x:c>
      <x:c r="AB71" s="21" t="n">
        <x:v>0.23529411764705882</x:v>
      </x:c>
      <x:c r="AC71" s="21" t="n">
        <x:v>0</x:v>
      </x:c>
      <x:c r="AD71" s="21" t="n">
        <x:v>0</x:v>
      </x:c>
      <x:c r="AE71" s="21" t="n">
        <x:v>0</x:v>
      </x:c>
      <x:c r="AF71" s="21" t="n">
        <x:v>0</x:v>
      </x:c>
      <x:c r="AG71" s="21" t="n">
        <x:v>0</x:v>
      </x:c>
      <x:c r="AH71" s="21" t="n">
        <x:v>0</x:v>
      </x:c>
      <x:c r="AI71" s="21" t="n">
        <x:v>0</x:v>
      </x:c>
      <x:c r="AJ71" s="21" t="n">
        <x:v>0</x:v>
      </x:c>
      <x:c r="AK71" s="21" t="n">
        <x:v>0</x:v>
      </x:c>
      <x:c r="AL71" s="21" t="n">
        <x:v>0</x:v>
      </x:c>
      <x:c r="AM71" s="21" t="n">
        <x:v>1</x:v>
      </x:c>
      <x:c r="AN71" s="21" t="n">
        <x:v>1</x:v>
      </x:c>
      <x:c r="AO71" s="21" t="n">
        <x:v>1</x:v>
      </x:c>
      <x:c r="AP71" s="21" t="n">
        <x:v>1.02</x:v>
      </x:c>
      <x:c r="AQ71" s="21" t="n">
        <x:v>1.01</x:v>
      </x:c>
      <x:c r="AR71" s="21" t="n">
        <x:v>1</x:v>
      </x:c>
      <x:c r="AS71" s="21" t="n">
        <x:v>1</x:v>
      </x:c>
      <x:c r="AT71" s="21" t="n">
        <x:v>1</x:v>
      </x:c>
      <x:c r="AU71" s="21" t="n">
        <x:v>0</x:v>
      </x:c>
      <x:c r="AV71" s="22" t="n">
        <x:f>IF(C71="QB",N71*0.04+O71*4-P71*2+R71*0.1+S71*6,IF(OR(C71="RB",C71="WR",C71="TE"),U71*0.1+V71*6+R71*0.1+S71*6+X71*0.5+Y71*0.1+Z71*6,IF(C71="K",AC71*3+AD71*4+AE71*5+AF71,IF(C71="DST",AG71+AH71*2+AI71*6+AL71,0))))</x:f>
        <x:v>5.1</x:v>
      </x:c>
      <x:c r="AW71" s="22" t="n">
        <x:f>(AV71+AU71)*G71</x:f>
        <x:v>5.1</x:v>
      </x:c>
      <x:c r="AX71" s="22" t="n">
        <x:f>MAX(0,AW71*IF(C71="QB",0.68,IF(C71="RB",0.58,IF(C71="WR",0.52,IF(C71="TE",0.50,IF(C71="K",0.55,0.40))))))</x:f>
        <x:v>2.9579999999999997</x:v>
      </x:c>
      <x:c r="AY71" s="22" t="n">
        <x:f>AW71*IF(C71="QB",1.32,IF(C71="RB",1.45,IF(C71="WR",1.55,IF(C71="TE",1.60,IF(C71="K",1.45,1.65)))))</x:f>
        <x:v>7.395</x:v>
      </x:c>
      <x:c r="AZ71" s="12" t="str">
        <x:v>Low</x:v>
      </x:c>
      <x:c r="BA71" s="12" t="n">
        <x:v>4</x:v>
      </x:c>
      <x:c r="BB71" s="12" t="n">
        <x:f>COUNTIFS($C$2:$C$344,C71,$AW$2:$AW$344,"&gt;"&amp;AW71,$G$2:$G$344,"&gt;0")+COUNTIFS($C$2:C71,C71,$AW$2:AW71,AW71,$G$2:G71,"&gt;0")</x:f>
        <x:v>52</x:v>
      </x:c>
      <x:c r="BC71" s="12" t="n">
        <x:v>31</x:v>
      </x:c>
      <x:c r="BD71" s="12" t="str">
        <x:f>IF(BB71&lt;BC71,"↑",IF(BB71&gt;BC71,"↓","→"))</x:f>
        <x:v>↓</x:v>
      </x:c>
      <x:c r="BE71" s="23" t="str">
        <x:v>https://static.clubs.nfl.com/image/upload/packers/zu3fdftopjkj8hkcwckc</x:v>
      </x:c>
      <x:c r="BF71" s="23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BG71" s="23" t="str">
        <x:v>Week 4 rotation; revised Thursday workload model</x:v>
      </x:c>
      <x:c r="BH71" s="24" t="str">
        <x:v>2026-09-24 7:40 PM CT</x:v>
      </x:c>
    </x:row>
    <x:row r="72">
      <x:c r="A72" s="12" t="str">
        <x:v>Mike Washington Jr.</x:v>
      </x:c>
      <x:c r="B72" s="12" t="str">
        <x:v>LV</x:v>
      </x:c>
      <x:c r="C72" s="12" t="str">
        <x:v>RB</x:v>
      </x:c>
      <x:c r="D72" s="12" t="str">
        <x:v>NO</x:v>
      </x:c>
      <x:c r="E72" s="12" t="str">
        <x:v>Away</x:v>
      </x:c>
      <x:c r="F72" s="12" t="str">
        <x:v>2026-09-27</x:v>
      </x:c>
      <x:c r="G72" s="19" t="n">
        <x:v>1</x:v>
      </x:c>
      <x:c r="H72" s="20" t="str">
        <x:v>ACTIVE</x:v>
      </x:c>
      <x:c r="I72" s="20" t="n">
        <x:v>36</x:v>
      </x:c>
      <x:c r="J72" s="20" t="str">
        <x:v>Opportunities</x:v>
      </x:c>
      <x:c r="K72" s="20" t="n">
        <x:v>9.619433198380568</x:v>
      </x:c>
      <x:c r="L72" s="21" t="n">
        <x:v>0</x:v>
      </x:c>
      <x:c r="M72" s="21" t="n">
        <x:v>0</x:v>
      </x:c>
      <x:c r="N72" s="21" t="n">
        <x:v>0</x:v>
      </x:c>
      <x:c r="O72" s="21" t="n">
        <x:v>0</x:v>
      </x:c>
      <x:c r="P72" s="21" t="n">
        <x:v>0</x:v>
      </x:c>
      <x:c r="Q72" s="21" t="n">
        <x:v>0</x:v>
      </x:c>
      <x:c r="R72" s="21" t="n">
        <x:v>0</x:v>
      </x:c>
      <x:c r="S72" s="21" t="n">
        <x:v>0</x:v>
      </x:c>
      <x:c r="T72" s="21" t="n">
        <x:v>7.578947368421053</x:v>
      </x:c>
      <x:c r="U72" s="21" t="n">
        <x:v>34.13161457489879</x:v>
      </x:c>
      <x:c r="V72" s="21" t="n">
        <x:v>0.2353904453441296</x:v>
      </x:c>
      <x:c r="W72" s="21" t="n">
        <x:v>2.0404858299595143</x:v>
      </x:c>
      <x:c r="X72" s="21" t="n">
        <x:v>1.5740890688259113</x:v>
      </x:c>
      <x:c r="Y72" s="21" t="n">
        <x:v>12.946474493927129</x:v>
      </x:c>
      <x:c r="Z72" s="21" t="n">
        <x:v>0.0588476113360324</x:v>
      </x:c>
      <x:c r="AA72" s="21" t="n">
        <x:v>0</x:v>
      </x:c>
      <x:c r="AB72" s="21" t="n">
        <x:v>0</x:v>
      </x:c>
      <x:c r="AC72" s="21" t="n">
        <x:v>0</x:v>
      </x:c>
      <x:c r="AD72" s="21" t="n">
        <x:v>0</x:v>
      </x:c>
      <x:c r="AE72" s="21" t="n">
        <x:v>0</x:v>
      </x:c>
      <x:c r="AF72" s="21" t="n">
        <x:v>0</x:v>
      </x:c>
      <x:c r="AG72" s="21" t="n">
        <x:v>0</x:v>
      </x:c>
      <x:c r="AH72" s="21" t="n">
        <x:v>0</x:v>
      </x:c>
      <x:c r="AI72" s="21" t="n">
        <x:v>0</x:v>
      </x:c>
      <x:c r="AJ72" s="21" t="n">
        <x:v>0</x:v>
      </x:c>
      <x:c r="AK72" s="21" t="n">
        <x:v>0</x:v>
      </x:c>
      <x:c r="AL72" s="21" t="n">
        <x:v>0</x:v>
      </x:c>
      <x:c r="AM72" s="21" t="n">
        <x:v>1</x:v>
      </x:c>
      <x:c r="AN72" s="21" t="n">
        <x:v>1</x:v>
      </x:c>
      <x:c r="AO72" s="21" t="n">
        <x:v>1</x:v>
      </x:c>
      <x:c r="AP72" s="21" t="n">
        <x:v>0.98</x:v>
      </x:c>
      <x:c r="AQ72" s="21" t="n">
        <x:v>1.03</x:v>
      </x:c>
      <x:c r="AR72" s="21" t="n">
        <x:v>1</x:v>
      </x:c>
      <x:c r="AS72" s="21" t="n">
        <x:v>1</x:v>
      </x:c>
      <x:c r="AT72" s="21" t="n">
        <x:v>1</x:v>
      </x:c>
      <x:c r="AU72" s="21" t="n">
        <x:v>0</x:v>
      </x:c>
      <x:c r="AV72" s="22" t="n">
        <x:f>IF(C72="QB",N72*0.04+O72*4-P72*2+R72*0.1+S72*6,IF(OR(C72="RB",C72="WR",C72="TE"),U72*0.1+V72*6+R72*0.1+S72*6+X72*0.5+Y72*0.1+Z72*6,IF(C72="K",AC72*3+AD72*4+AE72*5+AF72,IF(C72="DST",AG72+AH72*2+AI72*6+AL72,0))))</x:f>
        <x:v>7.26028178137652</x:v>
      </x:c>
      <x:c r="AW72" s="22" t="n">
        <x:f>(AV72+AU72)*G72</x:f>
        <x:v>7.26028178137652</x:v>
      </x:c>
      <x:c r="AX72" s="22" t="n">
        <x:f>MAX(0,AW72*IF(C72="QB",0.68,IF(C72="RB",0.58,IF(C72="WR",0.52,IF(C72="TE",0.50,IF(C72="K",0.55,0.40))))))</x:f>
        <x:v>4.210963433198382</x:v>
      </x:c>
      <x:c r="AY72" s="22" t="n">
        <x:f>AW72*IF(C72="QB",1.32,IF(C72="RB",1.45,IF(C72="WR",1.55,IF(C72="TE",1.60,IF(C72="K",1.45,1.65)))))</x:f>
        <x:v>10.527408582995953</x:v>
      </x:c>
      <x:c r="AZ72" s="12" t="str">
        <x:v>High</x:v>
      </x:c>
      <x:c r="BA72" s="12" t="n">
        <x:v>4</x:v>
      </x:c>
      <x:c r="BB72" s="12" t="n">
        <x:f>COUNTIFS($C$2:$C$344,C72,$AW$2:$AW$344,"&gt;"&amp;AW72,$G$2:$G$344,"&gt;0")+COUNTIFS($C$2:C72,C72,$AW$2:AW72,AW72,$G$2:G72,"&gt;0")</x:f>
        <x:v>35</x:v>
      </x:c>
      <x:c r="BC72" s="12" t="n">
        <x:v>36</x:v>
      </x:c>
      <x:c r="BD72" s="12" t="str">
        <x:f>IF(BB72&lt;BC72,"↑",IF(BB72&gt;BC72,"↓","→"))</x:f>
        <x:v>↑</x:v>
      </x:c>
      <x:c r="BE72" s="23" t="str">
        <x:v>Fantasy Football Brief ROS baseline; official NFL schedule</x:v>
      </x:c>
      <x:c r="BF72" s="23" t="str">
        <x:v>Current role and availability baseline; all adjustment factors shown numerically</x:v>
      </x:c>
      <x:c r="BG72" s="23" t="str">
        <x:v>Material injury, depth-chart, or role change</x:v>
      </x:c>
      <x:c r="BH72" s="24" t="str">
        <x:v>2026-09-23 10:35 CT</x:v>
      </x:c>
    </x:row>
    <x:row r="73">
      <x:c r="A73" s="12" t="str">
        <x:v>Jonathon Brooks</x:v>
      </x:c>
      <x:c r="B73" s="12" t="str">
        <x:v>CAR</x:v>
      </x:c>
      <x:c r="C73" s="12" t="str">
        <x:v>RB</x:v>
      </x:c>
      <x:c r="D73" s="12" t="str">
        <x:v>CLE</x:v>
      </x:c>
      <x:c r="E73" s="12" t="str">
        <x:v>Away</x:v>
      </x:c>
      <x:c r="F73" s="12" t="str">
        <x:v>2026-09-27</x:v>
      </x:c>
      <x:c r="G73" s="19" t="n">
        <x:v>0</x:v>
      </x:c>
      <x:c r="H73" s="20" t="str">
        <x:v>IR</x:v>
      </x:c>
      <x:c r="I73" s="20" t="n">
        <x:v>36</x:v>
      </x:c>
      <x:c r="J73" s="20" t="str">
        <x:v>Opportunities</x:v>
      </x:c>
      <x:c r="K73" s="20" t="n">
        <x:v>9.753036437246964</x:v>
      </x:c>
      <x:c r="L73" s="21" t="n">
        <x:v>0</x:v>
      </x:c>
      <x:c r="M73" s="21" t="n">
        <x:v>0</x:v>
      </x:c>
      <x:c r="N73" s="21" t="n">
        <x:v>0</x:v>
      </x:c>
      <x:c r="O73" s="21" t="n">
        <x:v>0</x:v>
      </x:c>
      <x:c r="P73" s="21" t="n">
        <x:v>0</x:v>
      </x:c>
      <x:c r="Q73" s="21" t="n">
        <x:v>0</x:v>
      </x:c>
      <x:c r="R73" s="21" t="n">
        <x:v>0</x:v>
      </x:c>
      <x:c r="S73" s="21" t="n">
        <x:v>0</x:v>
      </x:c>
      <x:c r="T73" s="21" t="n">
        <x:v>7.684210526315789</x:v>
      </x:c>
      <x:c r="U73" s="21" t="n">
        <x:v>32.925778137651825</x:v>
      </x:c>
      <x:c r="V73" s="21" t="n">
        <x:v>0.22707433198380567</x:v>
      </x:c>
      <x:c r="W73" s="21" t="n">
        <x:v>2.0688259109311744</x:v>
      </x:c>
      <x:c r="X73" s="21" t="n">
        <x:v>1.5959514170040487</x:v>
      </x:c>
      <x:c r="Y73" s="21" t="n">
        <x:v>12.489088259109312</x:v>
      </x:c>
      <x:c r="Z73" s="21" t="n">
        <x:v>0.05676858299595142</x:v>
      </x:c>
      <x:c r="AA73" s="21" t="n">
        <x:v>0</x:v>
      </x:c>
      <x:c r="AB73" s="21" t="n">
        <x:v>0</x:v>
      </x:c>
      <x:c r="AC73" s="21" t="n">
        <x:v>0</x:v>
      </x:c>
      <x:c r="AD73" s="21" t="n">
        <x:v>0</x:v>
      </x:c>
      <x:c r="AE73" s="21" t="n">
        <x:v>0</x:v>
      </x:c>
      <x:c r="AF73" s="21" t="n">
        <x:v>0</x:v>
      </x:c>
      <x:c r="AG73" s="21" t="n">
        <x:v>0</x:v>
      </x:c>
      <x:c r="AH73" s="21" t="n">
        <x:v>0</x:v>
      </x:c>
      <x:c r="AI73" s="21" t="n">
        <x:v>0</x:v>
      </x:c>
      <x:c r="AJ73" s="21" t="n">
        <x:v>0</x:v>
      </x:c>
      <x:c r="AK73" s="21" t="n">
        <x:v>0</x:v>
      </x:c>
      <x:c r="AL73" s="21" t="n">
        <x:v>0</x:v>
      </x:c>
      <x:c r="AM73" s="21" t="n">
        <x:v>1</x:v>
      </x:c>
      <x:c r="AN73" s="21" t="n">
        <x:v>1</x:v>
      </x:c>
      <x:c r="AO73" s="21" t="n">
        <x:v>1</x:v>
      </x:c>
      <x:c r="AP73" s="21" t="n">
        <x:v>0.98</x:v>
      </x:c>
      <x:c r="AQ73" s="21" t="n">
        <x:v>0.98</x:v>
      </x:c>
      <x:c r="AR73" s="21" t="n">
        <x:v>1</x:v>
      </x:c>
      <x:c r="AS73" s="21" t="n">
        <x:v>1</x:v>
      </x:c>
      <x:c r="AT73" s="21" t="n">
        <x:v>1</x:v>
      </x:c>
      <x:c r="AU73" s="21" t="n">
        <x:v>0</x:v>
      </x:c>
      <x:c r="AV73" s="22" t="n">
        <x:f>IF(C73="QB",N73*0.04+O73*4-P73*2+R73*0.1+S73*6,IF(OR(C73="RB",C73="WR",C73="TE"),U73*0.1+V73*6+R73*0.1+S73*6+X73*0.5+Y73*0.1+Z73*6,IF(C73="K",AC73*3+AD73*4+AE73*5+AF73,IF(C73="DST",AG73+AH73*2+AI73*6+AL73,0))))</x:f>
        <x:v>7.042519838056681</x:v>
      </x:c>
      <x:c r="AW73" s="22" t="n">
        <x:f>(AV73+AU73)*G73</x:f>
        <x:v>0</x:v>
      </x:c>
      <x:c r="AX73" s="22" t="n">
        <x:f>MAX(0,AW73*IF(C73="QB",0.68,IF(C73="RB",0.58,IF(C73="WR",0.52,IF(C73="TE",0.50,IF(C73="K",0.55,0.40))))))</x:f>
        <x:v>0</x:v>
      </x:c>
      <x:c r="AY73" s="22" t="n">
        <x:f>AW73*IF(C73="QB",1.32,IF(C73="RB",1.45,IF(C73="WR",1.55,IF(C73="TE",1.60,IF(C73="K",1.45,1.65)))))</x:f>
        <x:v>0</x:v>
      </x:c>
      <x:c r="AZ73" s="12" t="str">
        <x:v>High</x:v>
      </x:c>
      <x:c r="BA73" s="12" t="n">
        <x:v>4</x:v>
      </x:c>
      <x:c r="BB73" s="12"/>
      <x:c r="BC73" s="12" t="n">
        <x:v>30</x:v>
      </x:c>
      <x:c r="BD73" s="12" t="str">
        <x:v>↓</x:v>
      </x:c>
      <x:c r="BE73" s="23" t="str">
        <x:v>https://www.panthers.com/news/jonathon-brooks-placed-on-injured-reserve-signed-isaiah-simmons</x:v>
      </x:c>
      <x:c r="BF73" s="23" t="str">
        <x:v>Carolina placed Brooks on injured reserve. Conditional inputs remain visible for audit; expected Week 3 points are zero.</x:v>
      </x:c>
      <x:c r="BG73" s="23" t="str">
        <x:v>Official activation or new-team transaction</x:v>
      </x:c>
      <x:c r="BH73" s="24" t="str">
        <x:v>2026-09-24 1:18 PM CT</x:v>
      </x:c>
    </x:row>
    <x:row r="74">
      <x:c r="A74" s="12" t="str">
        <x:v>RJ Harvey</x:v>
      </x:c>
      <x:c r="B74" s="12" t="str">
        <x:v>DEN</x:v>
      </x:c>
      <x:c r="C74" s="12" t="str">
        <x:v>RB</x:v>
      </x:c>
      <x:c r="D74" s="12" t="str">
        <x:v>LAR</x:v>
      </x:c>
      <x:c r="E74" s="12" t="str">
        <x:v>Home</x:v>
      </x:c>
      <x:c r="F74" s="12" t="str">
        <x:v>2026-09-27</x:v>
      </x:c>
      <x:c r="G74" s="19" t="n">
        <x:v>0.9866666666666667</x:v>
      </x:c>
      <x:c r="H74" s="20" t="str">
        <x:v>ACTIVE</x:v>
      </x:c>
      <x:c r="I74" s="20" t="n">
        <x:v>35.52</x:v>
      </x:c>
      <x:c r="J74" s="20" t="str">
        <x:v>Opportunities</x:v>
      </x:c>
      <x:c r="K74" s="20" t="n">
        <x:v>9.753036437246964</x:v>
      </x:c>
      <x:c r="L74" s="21" t="n">
        <x:v>0</x:v>
      </x:c>
      <x:c r="M74" s="21" t="n">
        <x:v>0</x:v>
      </x:c>
      <x:c r="N74" s="21" t="n">
        <x:v>0</x:v>
      </x:c>
      <x:c r="O74" s="21" t="n">
        <x:v>0</x:v>
      </x:c>
      <x:c r="P74" s="21" t="n">
        <x:v>0</x:v>
      </x:c>
      <x:c r="Q74" s="21" t="n">
        <x:v>0</x:v>
      </x:c>
      <x:c r="R74" s="21" t="n">
        <x:v>0</x:v>
      </x:c>
      <x:c r="S74" s="21" t="n">
        <x:v>0</x:v>
      </x:c>
      <x:c r="T74" s="21" t="n">
        <x:v>7.684210526315789</x:v>
      </x:c>
      <x:c r="U74" s="21" t="n">
        <x:v>33.254898785425105</x:v>
      </x:c>
      <x:c r="V74" s="21" t="n">
        <x:v>0.22934412955465588</x:v>
      </x:c>
      <x:c r="W74" s="21" t="n">
        <x:v>2.0688259109311744</x:v>
      </x:c>
      <x:c r="X74" s="21" t="n">
        <x:v>1.5959514170040487</x:v>
      </x:c>
      <x:c r="Y74" s="21" t="n">
        <x:v>12.613927125506073</x:v>
      </x:c>
      <x:c r="Z74" s="21" t="n">
        <x:v>0.05733603238866397</x:v>
      </x:c>
      <x:c r="AA74" s="21" t="n">
        <x:v>0</x:v>
      </x:c>
      <x:c r="AB74" s="21" t="n">
        <x:v>0</x:v>
      </x:c>
      <x:c r="AC74" s="21" t="n">
        <x:v>0</x:v>
      </x:c>
      <x:c r="AD74" s="21" t="n">
        <x:v>0</x:v>
      </x:c>
      <x:c r="AE74" s="21" t="n">
        <x:v>0</x:v>
      </x:c>
      <x:c r="AF74" s="21" t="n">
        <x:v>0</x:v>
      </x:c>
      <x:c r="AG74" s="21" t="n">
        <x:v>0</x:v>
      </x:c>
      <x:c r="AH74" s="21" t="n">
        <x:v>0</x:v>
      </x:c>
      <x:c r="AI74" s="21" t="n">
        <x:v>0</x:v>
      </x:c>
      <x:c r="AJ74" s="21" t="n">
        <x:v>0</x:v>
      </x:c>
      <x:c r="AK74" s="21" t="n">
        <x:v>0</x:v>
      </x:c>
      <x:c r="AL74" s="21" t="n">
        <x:v>0</x:v>
      </x:c>
      <x:c r="AM74" s="21" t="n">
        <x:v>0.9866666666666667</x:v>
      </x:c>
      <x:c r="AN74" s="21" t="n">
        <x:v>1</x:v>
      </x:c>
      <x:c r="AO74" s="21" t="n">
        <x:v>1</x:v>
      </x:c>
      <x:c r="AP74" s="21" t="n">
        <x:v>1</x:v>
      </x:c>
      <x:c r="AQ74" s="21" t="n">
        <x:v>0.97</x:v>
      </x:c>
      <x:c r="AR74" s="21" t="n">
        <x:v>1</x:v>
      </x:c>
      <x:c r="AS74" s="21" t="n">
        <x:v>1</x:v>
      </x:c>
      <x:c r="AT74" s="21" t="n">
        <x:v>1</x:v>
      </x:c>
      <x:c r="AU74" s="21" t="n">
        <x:v>0</x:v>
      </x:c>
      <x:c r="AV74" s="22" t="n">
        <x:f>IF(C74="QB",N74*0.04+O74*4-P74*2+R74*0.1+S74*6,IF(OR(C74="RB",C74="WR",C74="TE"),U74*0.1+V74*6+R74*0.1+S74*6+X74*0.5+Y74*0.1+Z74*6,IF(C74="K",AC74*3+AD74*4+AE74*5+AF74,IF(C74="DST",AG74+AH74*2+AI74*6+AL74,0))))</x:f>
        <x:v>7.104939271255062</x:v>
      </x:c>
      <x:c r="AW74" s="22" t="n">
        <x:f>(AV74+AU74)*G74</x:f>
        <x:v>7.010206747638328</x:v>
      </x:c>
      <x:c r="AX74" s="22" t="n">
        <x:f>MAX(0,AW74*IF(C74="QB",0.68,IF(C74="RB",0.58,IF(C74="WR",0.52,IF(C74="TE",0.50,IF(C74="K",0.55,0.40))))))</x:f>
        <x:v>4.06591991363023</x:v>
      </x:c>
      <x:c r="AY74" s="22" t="n">
        <x:f>AW74*IF(C74="QB",1.32,IF(C74="RB",1.45,IF(C74="WR",1.55,IF(C74="TE",1.60,IF(C74="K",1.45,1.65)))))</x:f>
        <x:v>10.164799784075576</x:v>
      </x:c>
      <x:c r="AZ74" s="12" t="str">
        <x:v>High</x:v>
      </x:c>
      <x:c r="BA74" s="12" t="n">
        <x:v>4</x:v>
      </x:c>
      <x:c r="BB74" s="12" t="n">
        <x:f>COUNTIFS($C$2:$C$344,C74,$AW$2:$AW$344,"&gt;"&amp;AW74,$G$2:$G$344,"&gt;0")+COUNTIFS($C$2:C74,C74,$AW$2:AW74,AW74,$G$2:G74,"&gt;0")</x:f>
        <x:v>36</x:v>
      </x:c>
      <x:c r="BC74" s="12" t="n">
        <x:v>37</x:v>
      </x:c>
      <x:c r="BD74" s="12" t="str">
        <x:f>IF(BB74&lt;BC74,"↑",IF(BB74&gt;BC74,"↓","→"))</x:f>
        <x:v>↑</x:v>
      </x:c>
      <x:c r="BE74" s="23" t="str">
        <x:v>Fantasy Football Brief ROS baseline; official NFL schedule</x:v>
      </x:c>
      <x:c r="BF74" s="23" t="str">
        <x:v>Current role and availability baseline; all adjustment factors shown numerically</x:v>
      </x:c>
      <x:c r="BG74" s="23" t="str">
        <x:v>Material injury, depth-chart, or role change</x:v>
      </x:c>
      <x:c r="BH74" s="24" t="str">
        <x:v>2026-09-23 10:35 CT</x:v>
      </x:c>
    </x:row>
    <x:row r="75">
      <x:c r="A75" s="12" t="str">
        <x:v>J.K. Dobbins</x:v>
      </x:c>
      <x:c r="B75" s="12" t="str">
        <x:v>DEN</x:v>
      </x:c>
      <x:c r="C75" s="12" t="str">
        <x:v>RB</x:v>
      </x:c>
      <x:c r="D75" s="12" t="str">
        <x:v>LAR</x:v>
      </x:c>
      <x:c r="E75" s="12" t="str">
        <x:v>Home</x:v>
      </x:c>
      <x:c r="F75" s="12" t="str">
        <x:v>2026-09-27</x:v>
      </x:c>
      <x:c r="G75" s="19" t="n">
        <x:v>1</x:v>
      </x:c>
      <x:c r="H75" s="20" t="str">
        <x:v>ACTIVE</x:v>
      </x:c>
      <x:c r="I75" s="20" t="n">
        <x:v>36</x:v>
      </x:c>
      <x:c r="J75" s="20" t="str">
        <x:v>Opportunities</x:v>
      </x:c>
      <x:c r="K75" s="20" t="n">
        <x:v>9.619433198380568</x:v>
      </x:c>
      <x:c r="L75" s="21" t="n">
        <x:v>0</x:v>
      </x:c>
      <x:c r="M75" s="21" t="n">
        <x:v>0</x:v>
      </x:c>
      <x:c r="N75" s="21" t="n">
        <x:v>0</x:v>
      </x:c>
      <x:c r="O75" s="21" t="n">
        <x:v>0</x:v>
      </x:c>
      <x:c r="P75" s="21" t="n">
        <x:v>0</x:v>
      </x:c>
      <x:c r="Q75" s="21" t="n">
        <x:v>0</x:v>
      </x:c>
      <x:c r="R75" s="21" t="n">
        <x:v>0</x:v>
      </x:c>
      <x:c r="S75" s="21" t="n">
        <x:v>0</x:v>
      </x:c>
      <x:c r="T75" s="21" t="n">
        <x:v>7.578947368421053</x:v>
      </x:c>
      <x:c r="U75" s="21" t="n">
        <x:v>32.79935222672065</x:v>
      </x:c>
      <x:c r="V75" s="21" t="n">
        <x:v>0.2262024291497976</x:v>
      </x:c>
      <x:c r="W75" s="21" t="n">
        <x:v>2.0404858299595143</x:v>
      </x:c>
      <x:c r="X75" s="21" t="n">
        <x:v>1.5740890688259113</x:v>
      </x:c>
      <x:c r="Y75" s="21" t="n">
        <x:v>12.441133603238868</x:v>
      </x:c>
      <x:c r="Z75" s="21" t="n">
        <x:v>0.0565506072874494</x:v>
      </x:c>
      <x:c r="AA75" s="21" t="n">
        <x:v>0</x:v>
      </x:c>
      <x:c r="AB75" s="21" t="n">
        <x:v>0</x:v>
      </x:c>
      <x:c r="AC75" s="21" t="n">
        <x:v>0</x:v>
      </x:c>
      <x:c r="AD75" s="21" t="n">
        <x:v>0</x:v>
      </x:c>
      <x:c r="AE75" s="21" t="n">
        <x:v>0</x:v>
      </x:c>
      <x:c r="AF75" s="21" t="n">
        <x:v>0</x:v>
      </x:c>
      <x:c r="AG75" s="21" t="n">
        <x:v>0</x:v>
      </x:c>
      <x:c r="AH75" s="21" t="n">
        <x:v>0</x:v>
      </x:c>
      <x:c r="AI75" s="21" t="n">
        <x:v>0</x:v>
      </x:c>
      <x:c r="AJ75" s="21" t="n">
        <x:v>0</x:v>
      </x:c>
      <x:c r="AK75" s="21" t="n">
        <x:v>0</x:v>
      </x:c>
      <x:c r="AL75" s="21" t="n">
        <x:v>0</x:v>
      </x:c>
      <x:c r="AM75" s="21" t="n">
        <x:v>1</x:v>
      </x:c>
      <x:c r="AN75" s="21" t="n">
        <x:v>1</x:v>
      </x:c>
      <x:c r="AO75" s="21" t="n">
        <x:v>1</x:v>
      </x:c>
      <x:c r="AP75" s="21" t="n">
        <x:v>1</x:v>
      </x:c>
      <x:c r="AQ75" s="21" t="n">
        <x:v>0.97</x:v>
      </x:c>
      <x:c r="AR75" s="21" t="n">
        <x:v>1</x:v>
      </x:c>
      <x:c r="AS75" s="21" t="n">
        <x:v>1</x:v>
      </x:c>
      <x:c r="AT75" s="21" t="n">
        <x:v>1</x:v>
      </x:c>
      <x:c r="AU75" s="21" t="n">
        <x:v>0</x:v>
      </x:c>
      <x:c r="AV75" s="22" t="n">
        <x:f>IF(C75="QB",N75*0.04+O75*4-P75*2+R75*0.1+S75*6,IF(OR(C75="RB",C75="WR",C75="TE"),U75*0.1+V75*6+R75*0.1+S75*6+X75*0.5+Y75*0.1+Z75*6,IF(C75="K",AC75*3+AD75*4+AE75*5+AF75,IF(C75="DST",AG75+AH75*2+AI75*6+AL75,0))))</x:f>
        <x:v>7.00761133603239</x:v>
      </x:c>
      <x:c r="AW75" s="22" t="n">
        <x:f>(AV75+AU75)*G75</x:f>
        <x:v>7.00761133603239</x:v>
      </x:c>
      <x:c r="AX75" s="22" t="n">
        <x:f>MAX(0,AW75*IF(C75="QB",0.68,IF(C75="RB",0.58,IF(C75="WR",0.52,IF(C75="TE",0.50,IF(C75="K",0.55,0.40))))))</x:f>
        <x:v>4.064414574898786</x:v>
      </x:c>
      <x:c r="AY75" s="22" t="n">
        <x:f>AW75*IF(C75="QB",1.32,IF(C75="RB",1.45,IF(C75="WR",1.55,IF(C75="TE",1.60,IF(C75="K",1.45,1.65)))))</x:f>
        <x:v>10.161036437246965</x:v>
      </x:c>
      <x:c r="AZ75" s="12" t="str">
        <x:v>High</x:v>
      </x:c>
      <x:c r="BA75" s="12" t="n">
        <x:v>4</x:v>
      </x:c>
      <x:c r="BB75" s="12" t="n">
        <x:f>COUNTIFS($C$2:$C$344,C75,$AW$2:$AW$344,"&gt;"&amp;AW75,$G$2:$G$344,"&gt;0")+COUNTIFS($C$2:C75,C75,$AW$2:AW75,AW75,$G$2:G75,"&gt;0")</x:f>
        <x:v>37</x:v>
      </x:c>
      <x:c r="BC75" s="12" t="n">
        <x:v>38</x:v>
      </x:c>
      <x:c r="BD75" s="12" t="str">
        <x:f>IF(BB75&lt;BC75,"↑",IF(BB75&gt;BC75,"↓","→"))</x:f>
        <x:v>↑</x:v>
      </x:c>
      <x:c r="BE75" s="23" t="str">
        <x:v>Fantasy Football Brief ROS baseline; official NFL schedule</x:v>
      </x:c>
      <x:c r="BF75" s="23" t="str">
        <x:v>Current role and availability baseline; all adjustment factors shown numerically</x:v>
      </x:c>
      <x:c r="BG75" s="23" t="str">
        <x:v>Material injury, depth-chart, or role change</x:v>
      </x:c>
      <x:c r="BH75" s="24" t="str">
        <x:v>2026-09-23 10:35 CT</x:v>
      </x:c>
    </x:row>
    <x:row r="76">
      <x:c r="A76" s="12" t="str">
        <x:v>Chris Rodriguez Jr.</x:v>
      </x:c>
      <x:c r="B76" s="12" t="str">
        <x:v>JAC</x:v>
      </x:c>
      <x:c r="C76" s="12" t="str">
        <x:v>RB</x:v>
      </x:c>
      <x:c r="D76" s="12" t="str">
        <x:v>NE</x:v>
      </x:c>
      <x:c r="E76" s="12" t="str">
        <x:v>Home</x:v>
      </x:c>
      <x:c r="F76" s="12" t="str">
        <x:v>2026-09-27</x:v>
      </x:c>
      <x:c r="G76" s="19" t="n">
        <x:v>1</x:v>
      </x:c>
      <x:c r="H76" s="20" t="str">
        <x:v>ACTIVE</x:v>
      </x:c>
      <x:c r="I76" s="20" t="n">
        <x:v>36</x:v>
      </x:c>
      <x:c r="J76" s="20" t="str">
        <x:v>Opportunities</x:v>
      </x:c>
      <x:c r="K76" s="20" t="n">
        <x:v>8.68421052631579</x:v>
      </x:c>
      <x:c r="L76" s="21" t="n">
        <x:v>0</x:v>
      </x:c>
      <x:c r="M76" s="21" t="n">
        <x:v>0</x:v>
      </x:c>
      <x:c r="N76" s="21" t="n">
        <x:v>0</x:v>
      </x:c>
      <x:c r="O76" s="21" t="n">
        <x:v>0</x:v>
      </x:c>
      <x:c r="P76" s="21" t="n">
        <x:v>0</x:v>
      </x:c>
      <x:c r="Q76" s="21" t="n">
        <x:v>0</x:v>
      </x:c>
      <x:c r="R76" s="21" t="n">
        <x:v>0</x:v>
      </x:c>
      <x:c r="S76" s="21" t="n">
        <x:v>0</x:v>
      </x:c>
      <x:c r="T76" s="21" t="n">
        <x:v>6.842105263157895</x:v>
      </x:c>
      <x:c r="U76" s="21" t="n">
        <x:v>30.52631578947368</x:v>
      </x:c>
      <x:c r="V76" s="21" t="n">
        <x:v>0.21052631578947367</x:v>
      </x:c>
      <x:c r="W76" s="21" t="n">
        <x:v>1.8421052631578947</x:v>
      </x:c>
      <x:c r="X76" s="21" t="n">
        <x:v>1.4210526315789473</x:v>
      </x:c>
      <x:c r="Y76" s="21" t="n">
        <x:v>11.578947368421051</x:v>
      </x:c>
      <x:c r="Z76" s="21" t="n">
        <x:v>0.05263157894736842</x:v>
      </x:c>
      <x:c r="AA76" s="21" t="n">
        <x:v>0</x:v>
      </x:c>
      <x:c r="AB76" s="21" t="n">
        <x:v>0</x:v>
      </x:c>
      <x:c r="AC76" s="21" t="n">
        <x:v>0</x:v>
      </x:c>
      <x:c r="AD76" s="21" t="n">
        <x:v>0</x:v>
      </x:c>
      <x:c r="AE76" s="21" t="n">
        <x:v>0</x:v>
      </x:c>
      <x:c r="AF76" s="21" t="n">
        <x:v>0</x:v>
      </x:c>
      <x:c r="AG76" s="21" t="n">
        <x:v>0</x:v>
      </x:c>
      <x:c r="AH76" s="21" t="n">
        <x:v>0</x:v>
      </x:c>
      <x:c r="AI76" s="21" t="n">
        <x:v>0</x:v>
      </x:c>
      <x:c r="AJ76" s="21" t="n">
        <x:v>0</x:v>
      </x:c>
      <x:c r="AK76" s="21" t="n">
        <x:v>0</x:v>
      </x:c>
      <x:c r="AL76" s="21" t="n">
        <x:v>0</x:v>
      </x:c>
      <x:c r="AM76" s="21" t="n">
        <x:v>1</x:v>
      </x:c>
      <x:c r="AN76" s="21" t="n">
        <x:v>1</x:v>
      </x:c>
      <x:c r="AO76" s="21" t="n">
        <x:v>1</x:v>
      </x:c>
      <x:c r="AP76" s="21" t="n">
        <x:v>1</x:v>
      </x:c>
      <x:c r="AQ76" s="21" t="n">
        <x:v>1</x:v>
      </x:c>
      <x:c r="AR76" s="21" t="n">
        <x:v>1</x:v>
      </x:c>
      <x:c r="AS76" s="21" t="n">
        <x:v>1</x:v>
      </x:c>
      <x:c r="AT76" s="21" t="n">
        <x:v>1</x:v>
      </x:c>
      <x:c r="AU76" s="21" t="n">
        <x:v>0</x:v>
      </x:c>
      <x:c r="AV76" s="22" t="n">
        <x:f>IF(C76="QB",N76*0.04+O76*4-P76*2+R76*0.1+S76*6,IF(OR(C76="RB",C76="WR",C76="TE"),U76*0.1+V76*6+R76*0.1+S76*6+X76*0.5+Y76*0.1+Z76*6,IF(C76="K",AC76*3+AD76*4+AE76*5+AF76,IF(C76="DST",AG76+AH76*2+AI76*6+AL76,0))))</x:f>
        <x:v>6.5</x:v>
      </x:c>
      <x:c r="AW76" s="22" t="n">
        <x:f>(AV76+AU76)*G76</x:f>
        <x:v>6.5</x:v>
      </x:c>
      <x:c r="AX76" s="22" t="n">
        <x:f>MAX(0,AW76*IF(C76="QB",0.68,IF(C76="RB",0.58,IF(C76="WR",0.52,IF(C76="TE",0.50,IF(C76="K",0.55,0.40))))))</x:f>
        <x:v>3.7699999999999996</x:v>
      </x:c>
      <x:c r="AY76" s="22" t="n">
        <x:f>AW76*IF(C76="QB",1.32,IF(C76="RB",1.45,IF(C76="WR",1.55,IF(C76="TE",1.60,IF(C76="K",1.45,1.65)))))</x:f>
        <x:v>9.424999999999999</x:v>
      </x:c>
      <x:c r="AZ76" s="12" t="str">
        <x:v>High</x:v>
      </x:c>
      <x:c r="BA76" s="12" t="n">
        <x:v>4</x:v>
      </x:c>
      <x:c r="BB76" s="12" t="n">
        <x:f>COUNTIFS($C$2:$C$344,C76,$AW$2:$AW$344,"&gt;"&amp;AW76,$G$2:$G$344,"&gt;0")+COUNTIFS($C$2:C76,C76,$AW$2:AW76,AW76,$G$2:G76,"&gt;0")</x:f>
        <x:v>38</x:v>
      </x:c>
      <x:c r="BC76" s="12" t="n">
        <x:v>39</x:v>
      </x:c>
      <x:c r="BD76" s="12" t="str">
        <x:f>IF(BB76&lt;BC76,"↑",IF(BB76&gt;BC76,"↓","→"))</x:f>
        <x:v>↑</x:v>
      </x:c>
      <x:c r="BE76" s="23" t="str">
        <x:v>Fantasy Football Brief ROS baseline; official NFL schedule</x:v>
      </x:c>
      <x:c r="BF76" s="23" t="str">
        <x:v>Current role and availability baseline; all adjustment factors shown numerically</x:v>
      </x:c>
      <x:c r="BG76" s="23" t="str">
        <x:v>Material injury, depth-chart, or role change</x:v>
      </x:c>
      <x:c r="BH76" s="24" t="str">
        <x:v>2026-09-23 10:35 CT</x:v>
      </x:c>
    </x:row>
    <x:row r="77">
      <x:c r="A77" s="12" t="str">
        <x:v>Emmett Johnson</x:v>
      </x:c>
      <x:c r="B77" s="12" t="str">
        <x:v>KC</x:v>
      </x:c>
      <x:c r="C77" s="12" t="str">
        <x:v>RB</x:v>
      </x:c>
      <x:c r="D77" s="12" t="str">
        <x:v>MIA</x:v>
      </x:c>
      <x:c r="E77" s="12" t="str">
        <x:v>Away</x:v>
      </x:c>
      <x:c r="F77" s="12" t="str">
        <x:v>2026-09-27</x:v>
      </x:c>
      <x:c r="G77" s="19" t="n">
        <x:v>1</x:v>
      </x:c>
      <x:c r="H77" s="20" t="str">
        <x:v>ACTIVE</x:v>
      </x:c>
      <x:c r="I77" s="20" t="n">
        <x:v>36</x:v>
      </x:c>
      <x:c r="J77" s="20" t="str">
        <x:v>Opportunities</x:v>
      </x:c>
      <x:c r="K77" s="20" t="n">
        <x:v>8.149797570850202</x:v>
      </x:c>
      <x:c r="L77" s="21" t="n">
        <x:v>0</x:v>
      </x:c>
      <x:c r="M77" s="21" t="n">
        <x:v>0</x:v>
      </x:c>
      <x:c r="N77" s="21" t="n">
        <x:v>0</x:v>
      </x:c>
      <x:c r="O77" s="21" t="n">
        <x:v>0</x:v>
      </x:c>
      <x:c r="P77" s="21" t="n">
        <x:v>0</x:v>
      </x:c>
      <x:c r="Q77" s="21" t="n">
        <x:v>0</x:v>
      </x:c>
      <x:c r="R77" s="21" t="n">
        <x:v>0</x:v>
      </x:c>
      <x:c r="S77" s="21" t="n">
        <x:v>0</x:v>
      </x:c>
      <x:c r="T77" s="21" t="n">
        <x:v>6.421052631578947</x:v>
      </x:c>
      <x:c r="U77" s="21" t="n">
        <x:v>30.68749473684211</x:v>
      </x:c>
      <x:c r="V77" s="21" t="n">
        <x:v>0.21163789473684214</x:v>
      </x:c>
      <x:c r="W77" s="21" t="n">
        <x:v>1.728744939271255</x:v>
      </x:c>
      <x:c r="X77" s="21" t="n">
        <x:v>1.3336032388663968</x:v>
      </x:c>
      <x:c r="Y77" s="21" t="n">
        <x:v>11.640084210526318</x:v>
      </x:c>
      <x:c r="Z77" s="21" t="n">
        <x:v>0.052909473684210534</x:v>
      </x:c>
      <x:c r="AA77" s="21" t="n">
        <x:v>0</x:v>
      </x:c>
      <x:c r="AB77" s="21" t="n">
        <x:v>0</x:v>
      </x:c>
      <x:c r="AC77" s="21" t="n">
        <x:v>0</x:v>
      </x:c>
      <x:c r="AD77" s="21" t="n">
        <x:v>0</x:v>
      </x:c>
      <x:c r="AE77" s="21" t="n">
        <x:v>0</x:v>
      </x:c>
      <x:c r="AF77" s="21" t="n">
        <x:v>0</x:v>
      </x:c>
      <x:c r="AG77" s="21" t="n">
        <x:v>0</x:v>
      </x:c>
      <x:c r="AH77" s="21" t="n">
        <x:v>0</x:v>
      </x:c>
      <x:c r="AI77" s="21" t="n">
        <x:v>0</x:v>
      </x:c>
      <x:c r="AJ77" s="21" t="n">
        <x:v>0</x:v>
      </x:c>
      <x:c r="AK77" s="21" t="n">
        <x:v>0</x:v>
      </x:c>
      <x:c r="AL77" s="21" t="n">
        <x:v>0</x:v>
      </x:c>
      <x:c r="AM77" s="21" t="n">
        <x:v>1</x:v>
      </x:c>
      <x:c r="AN77" s="21" t="n">
        <x:v>1</x:v>
      </x:c>
      <x:c r="AO77" s="21" t="n">
        <x:v>1</x:v>
      </x:c>
      <x:c r="AP77" s="21" t="n">
        <x:v>1.03</x:v>
      </x:c>
      <x:c r="AQ77" s="21" t="n">
        <x:v>1.04</x:v>
      </x:c>
      <x:c r="AR77" s="21" t="n">
        <x:v>1</x:v>
      </x:c>
      <x:c r="AS77" s="21" t="n">
        <x:v>1</x:v>
      </x:c>
      <x:c r="AT77" s="21" t="n">
        <x:v>1</x:v>
      </x:c>
      <x:c r="AU77" s="21" t="n">
        <x:v>0</x:v>
      </x:c>
      <x:c r="AV77" s="22" t="n">
        <x:f>IF(C77="QB",N77*0.04+O77*4-P77*2+R77*0.1+S77*6,IF(OR(C77="RB",C77="WR",C77="TE"),U77*0.1+V77*6+R77*0.1+S77*6+X77*0.5+Y77*0.1+Z77*6,IF(C77="K",AC77*3+AD77*4+AE77*5+AF77,IF(C77="DST",AG77+AH77*2+AI77*6+AL77,0))))</x:f>
        <x:v>6.486843724696357</x:v>
      </x:c>
      <x:c r="AW77" s="22" t="n">
        <x:f>(AV77+AU77)*G77</x:f>
        <x:v>6.486843724696357</x:v>
      </x:c>
      <x:c r="AX77" s="22" t="n">
        <x:f>MAX(0,AW77*IF(C77="QB",0.68,IF(C77="RB",0.58,IF(C77="WR",0.52,IF(C77="TE",0.50,IF(C77="K",0.55,0.40))))))</x:f>
        <x:v>3.7623693603238864</x:v>
      </x:c>
      <x:c r="AY77" s="22" t="n">
        <x:f>AW77*IF(C77="QB",1.32,IF(C77="RB",1.45,IF(C77="WR",1.55,IF(C77="TE",1.60,IF(C77="K",1.45,1.65)))))</x:f>
        <x:v>9.405923400809717</x:v>
      </x:c>
      <x:c r="AZ77" s="12" t="str">
        <x:v>High</x:v>
      </x:c>
      <x:c r="BA77" s="12" t="n">
        <x:v>5</x:v>
      </x:c>
      <x:c r="BB77" s="12" t="n">
        <x:f>COUNTIFS($C$2:$C$344,C77,$AW$2:$AW$344,"&gt;"&amp;AW77,$G$2:$G$344,"&gt;0")+COUNTIFS($C$2:C77,C77,$AW$2:AW77,AW77,$G$2:G77,"&gt;0")</x:f>
        <x:v>39</x:v>
      </x:c>
      <x:c r="BC77" s="12" t="n">
        <x:v>40</x:v>
      </x:c>
      <x:c r="BD77" s="12" t="str">
        <x:f>IF(BB77&lt;BC77,"↑",IF(BB77&gt;BC77,"↓","→"))</x:f>
        <x:v>↑</x:v>
      </x:c>
      <x:c r="BE77" s="23" t="str">
        <x:v>Fantasy Football Brief ROS baseline; official NFL schedule</x:v>
      </x:c>
      <x:c r="BF77" s="23" t="str">
        <x:v>Current role and availability baseline; all adjustment factors shown numerically</x:v>
      </x:c>
      <x:c r="BG77" s="23" t="str">
        <x:v>Material injury, depth-chart, or role change</x:v>
      </x:c>
      <x:c r="BH77" s="24" t="str">
        <x:v>2026-09-23 10:35 CT</x:v>
      </x:c>
    </x:row>
    <x:row r="78">
      <x:c r="A78" s="12" t="str">
        <x:v>Tyrone Tracy Jr.</x:v>
      </x:c>
      <x:c r="B78" s="12" t="str">
        <x:v>NYG</x:v>
      </x:c>
      <x:c r="C78" s="12" t="str">
        <x:v>RB</x:v>
      </x:c>
      <x:c r="D78" s="12" t="str">
        <x:v>TEN</x:v>
      </x:c>
      <x:c r="E78" s="12" t="str">
        <x:v>Home</x:v>
      </x:c>
      <x:c r="F78" s="12" t="str">
        <x:v>2026-09-27</x:v>
      </x:c>
      <x:c r="G78" s="19" t="n">
        <x:v>1</x:v>
      </x:c>
      <x:c r="H78" s="20" t="str">
        <x:v>ACTIVE</x:v>
      </x:c>
      <x:c r="I78" s="20" t="n">
        <x:v>36</x:v>
      </x:c>
      <x:c r="J78" s="20" t="str">
        <x:v>Opportunities</x:v>
      </x:c>
      <x:c r="K78" s="20" t="n">
        <x:v>8.68421052631579</x:v>
      </x:c>
      <x:c r="L78" s="21" t="n">
        <x:v>0</x:v>
      </x:c>
      <x:c r="M78" s="21" t="n">
        <x:v>0</x:v>
      </x:c>
      <x:c r="N78" s="21" t="n">
        <x:v>0</x:v>
      </x:c>
      <x:c r="O78" s="21" t="n">
        <x:v>0</x:v>
      </x:c>
      <x:c r="P78" s="21" t="n">
        <x:v>0</x:v>
      </x:c>
      <x:c r="Q78" s="21" t="n">
        <x:v>0</x:v>
      </x:c>
      <x:c r="R78" s="21" t="n">
        <x:v>0</x:v>
      </x:c>
      <x:c r="S78" s="21" t="n">
        <x:v>0</x:v>
      </x:c>
      <x:c r="T78" s="21" t="n">
        <x:v>6.842105263157895</x:v>
      </x:c>
      <x:c r="U78" s="21" t="n">
        <x:v>29.89136842105263</x:v>
      </x:c>
      <x:c r="V78" s="21" t="n">
        <x:v>0.2061473684210526</x:v>
      </x:c>
      <x:c r="W78" s="21" t="n">
        <x:v>1.8421052631578947</x:v>
      </x:c>
      <x:c r="X78" s="21" t="n">
        <x:v>1.3499999999999999</x:v>
      </x:c>
      <x:c r="Y78" s="21" t="n">
        <x:v>10.204294736842103</x:v>
      </x:c>
      <x:c r="Z78" s="21" t="n">
        <x:v>0.04380631578947368</x:v>
      </x:c>
      <x:c r="AA78" s="21" t="n">
        <x:v>0</x:v>
      </x:c>
      <x:c r="AB78" s="21" t="n">
        <x:v>0</x:v>
      </x:c>
      <x:c r="AC78" s="21" t="n">
        <x:v>0</x:v>
      </x:c>
      <x:c r="AD78" s="21" t="n">
        <x:v>0</x:v>
      </x:c>
      <x:c r="AE78" s="21" t="n">
        <x:v>0</x:v>
      </x:c>
      <x:c r="AF78" s="21" t="n">
        <x:v>0</x:v>
      </x:c>
      <x:c r="AG78" s="21" t="n">
        <x:v>0</x:v>
      </x:c>
      <x:c r="AH78" s="21" t="n">
        <x:v>0</x:v>
      </x:c>
      <x:c r="AI78" s="21" t="n">
        <x:v>0</x:v>
      </x:c>
      <x:c r="AJ78" s="21" t="n">
        <x:v>0</x:v>
      </x:c>
      <x:c r="AK78" s="21" t="n">
        <x:v>0</x:v>
      </x:c>
      <x:c r="AL78" s="21" t="n">
        <x:v>0</x:v>
      </x:c>
      <x:c r="AM78" s="21" t="n">
        <x:v>1</x:v>
      </x:c>
      <x:c r="AN78" s="21" t="n">
        <x:v>1</x:v>
      </x:c>
      <x:c r="AO78" s="21" t="n">
        <x:v>1</x:v>
      </x:c>
      <x:c r="AP78" s="21" t="n">
        <x:v>0.96</x:v>
      </x:c>
      <x:c r="AQ78" s="21" t="n">
        <x:v>1.02</x:v>
      </x:c>
      <x:c r="AR78" s="21" t="n">
        <x:v>1</x:v>
      </x:c>
      <x:c r="AS78" s="21" t="n">
        <x:v>1</x:v>
      </x:c>
      <x:c r="AT78" s="21" t="n">
        <x:v>1</x:v>
      </x:c>
      <x:c r="AU78" s="21" t="n">
        <x:v>0</x:v>
      </x:c>
      <x:c r="AV78" s="22" t="n">
        <x:f>IF(C78="QB",N78*0.04+O78*4-P78*2+R78*0.1+S78*6,IF(OR(C78="RB",C78="WR",C78="TE"),U78*0.1+V78*6+R78*0.1+S78*6+X78*0.5+Y78*0.1+Z78*6,IF(C78="K",AC78*3+AD78*4+AE78*5+AF78,IF(C78="DST",AG78+AH78*2+AI78*6+AL78,0))))</x:f>
        <x:v>6.1842884210526305</x:v>
      </x:c>
      <x:c r="AW78" s="22" t="n">
        <x:f>(AV78+AU78)*G78</x:f>
        <x:v>6.1842884210526305</x:v>
      </x:c>
      <x:c r="AX78" s="22" t="n">
        <x:f>MAX(0,AW78*IF(C78="QB",0.68,IF(C78="RB",0.58,IF(C78="WR",0.52,IF(C78="TE",0.50,IF(C78="K",0.55,0.40))))))</x:f>
        <x:v>3.5868872842105253</x:v>
      </x:c>
      <x:c r="AY78" s="22" t="n">
        <x:f>AW78*IF(C78="QB",1.32,IF(C78="RB",1.45,IF(C78="WR",1.55,IF(C78="TE",1.60,IF(C78="K",1.45,1.65)))))</x:f>
        <x:v>8.967218210526314</x:v>
      </x:c>
      <x:c r="AZ78" s="12" t="str">
        <x:v>Moderate</x:v>
      </x:c>
      <x:c r="BA78" s="12" t="n">
        <x:v>5</x:v>
      </x:c>
      <x:c r="BB78" s="12" t="n">
        <x:f>COUNTIFS($C$2:$C$344,C78,$AW$2:$AW$344,"&gt;"&amp;AW78,$G$2:$G$344,"&gt;0")+COUNTIFS($C$2:C78,C78,$AW$2:AW78,AW78,$G$2:G78,"&gt;0")</x:f>
        <x:v>40</x:v>
      </x:c>
      <x:c r="BC78" s="12" t="n">
        <x:v>41</x:v>
      </x:c>
      <x:c r="BD78" s="12" t="str">
        <x:f>IF(BB78&lt;BC78,"↑",IF(BB78&gt;BC78,"↓","→"))</x:f>
        <x:v>↑</x:v>
      </x:c>
      <x:c r="BE78" s="23" t="str">
        <x:v>https://www.giants.com/news/jaxson-dart-to-miss-rest-of-regular-season-jameis-winston-to-start-quarterback-injury-john-harbaugh</x:v>
      </x:c>
      <x:c r="BF78" s="23" t="str">
        <x:v>Winston efficiency revision: receiving catches x0.95,yards x0.90,TD x0.85; targets/carries retained. More uncertain accuracy and scoring reduce receiver production; unranked residual explicitly retained in team budget.</x:v>
      </x:c>
      <x:c r="BG78" s="23" t="str">
        <x:v>Next official practice report and game-status designation</x:v>
      </x:c>
      <x:c r="BH78" s="24" t="str">
        <x:v>2026-09-24 7:40 PM CT</x:v>
      </x:c>
    </x:row>
    <x:row r="79">
      <x:c r="A79" s="12" t="str">
        <x:v>Tank Bigsby</x:v>
      </x:c>
      <x:c r="B79" s="12" t="str">
        <x:v>PHI</x:v>
      </x:c>
      <x:c r="C79" s="12" t="str">
        <x:v>RB</x:v>
      </x:c>
      <x:c r="D79" s="12" t="str">
        <x:v>CHI</x:v>
      </x:c>
      <x:c r="E79" s="12" t="str">
        <x:v>Away</x:v>
      </x:c>
      <x:c r="F79" s="12" t="str">
        <x:v>2026-09-28</x:v>
      </x:c>
      <x:c r="G79" s="19" t="n">
        <x:v>1</x:v>
      </x:c>
      <x:c r="H79" s="20" t="str">
        <x:v>ACTIVE</x:v>
      </x:c>
      <x:c r="I79" s="20" t="n">
        <x:v>36</x:v>
      </x:c>
      <x:c r="J79" s="20" t="str">
        <x:v>Opportunities</x:v>
      </x:c>
      <x:c r="K79" s="20" t="n">
        <x:v>7.88259109311741</x:v>
      </x:c>
      <x:c r="L79" s="21" t="n">
        <x:v>0</x:v>
      </x:c>
      <x:c r="M79" s="21" t="n">
        <x:v>0</x:v>
      </x:c>
      <x:c r="N79" s="21" t="n">
        <x:v>0</x:v>
      </x:c>
      <x:c r="O79" s="21" t="n">
        <x:v>0</x:v>
      </x:c>
      <x:c r="P79" s="21" t="n">
        <x:v>0</x:v>
      </x:c>
      <x:c r="Q79" s="21" t="n">
        <x:v>0</x:v>
      </x:c>
      <x:c r="R79" s="21" t="n">
        <x:v>0</x:v>
      </x:c>
      <x:c r="S79" s="21" t="n">
        <x:v>0</x:v>
      </x:c>
      <x:c r="T79" s="21" t="n">
        <x:v>6.210526315789474</x:v>
      </x:c>
      <x:c r="U79" s="21" t="n">
        <x:v>29.11055222672065</x:v>
      </x:c>
      <x:c r="V79" s="21" t="n">
        <x:v>0.2007624291497976</x:v>
      </x:c>
      <x:c r="W79" s="21" t="n">
        <x:v>1.6720647773279356</x:v>
      </x:c>
      <x:c r="X79" s="21" t="n">
        <x:v>1.2898785425101218</x:v>
      </x:c>
      <x:c r="Y79" s="21" t="n">
        <x:v>11.041933603238869</x:v>
      </x:c>
      <x:c r="Z79" s="21" t="n">
        <x:v>0.0501906072874494</x:v>
      </x:c>
      <x:c r="AA79" s="21" t="n">
        <x:v>0</x:v>
      </x:c>
      <x:c r="AB79" s="21" t="n">
        <x:v>0</x:v>
      </x:c>
      <x:c r="AC79" s="21" t="n">
        <x:v>0</x:v>
      </x:c>
      <x:c r="AD79" s="21" t="n">
        <x:v>0</x:v>
      </x:c>
      <x:c r="AE79" s="21" t="n">
        <x:v>0</x:v>
      </x:c>
      <x:c r="AF79" s="21" t="n">
        <x:v>0</x:v>
      </x:c>
      <x:c r="AG79" s="21" t="n">
        <x:v>0</x:v>
      </x:c>
      <x:c r="AH79" s="21" t="n">
        <x:v>0</x:v>
      </x:c>
      <x:c r="AI79" s="21" t="n">
        <x:v>0</x:v>
      </x:c>
      <x:c r="AJ79" s="21" t="n">
        <x:v>0</x:v>
      </x:c>
      <x:c r="AK79" s="21" t="n">
        <x:v>0</x:v>
      </x:c>
      <x:c r="AL79" s="21" t="n">
        <x:v>0</x:v>
      </x:c>
      <x:c r="AM79" s="21" t="n">
        <x:v>1</x:v>
      </x:c>
      <x:c r="AN79" s="21" t="n">
        <x:v>1</x:v>
      </x:c>
      <x:c r="AO79" s="21" t="n">
        <x:v>1</x:v>
      </x:c>
      <x:c r="AP79" s="21" t="n">
        <x:v>1.03</x:v>
      </x:c>
      <x:c r="AQ79" s="21" t="n">
        <x:v>1.02</x:v>
      </x:c>
      <x:c r="AR79" s="21" t="n">
        <x:v>1</x:v>
      </x:c>
      <x:c r="AS79" s="21" t="n">
        <x:v>1</x:v>
      </x:c>
      <x:c r="AT79" s="21" t="n">
        <x:v>1</x:v>
      </x:c>
      <x:c r="AU79" s="21" t="n">
        <x:v>0</x:v>
      </x:c>
      <x:c r="AV79" s="22" t="n">
        <x:f>IF(C79="QB",N79*0.04+O79*4-P79*2+R79*0.1+S79*6,IF(OR(C79="RB",C79="WR",C79="TE"),U79*0.1+V79*6+R79*0.1+S79*6+X79*0.5+Y79*0.1+Z79*6,IF(C79="K",AC79*3+AD79*4+AE79*5+AF79,IF(C79="DST",AG79+AH79*2+AI79*6+AL79,0))))</x:f>
        <x:v>6.1659060728744945</x:v>
      </x:c>
      <x:c r="AW79" s="22" t="n">
        <x:f>(AV79+AU79)*G79</x:f>
        <x:v>6.1659060728744945</x:v>
      </x:c>
      <x:c r="AX79" s="22" t="n">
        <x:f>MAX(0,AW79*IF(C79="QB",0.68,IF(C79="RB",0.58,IF(C79="WR",0.52,IF(C79="TE",0.50,IF(C79="K",0.55,0.40))))))</x:f>
        <x:v>3.576225522267207</x:v>
      </x:c>
      <x:c r="AY79" s="22" t="n">
        <x:f>AW79*IF(C79="QB",1.32,IF(C79="RB",1.45,IF(C79="WR",1.55,IF(C79="TE",1.60,IF(C79="K",1.45,1.65)))))</x:f>
        <x:v>8.940563805668017</x:v>
      </x:c>
      <x:c r="AZ79" s="12" t="str">
        <x:v>High</x:v>
      </x:c>
      <x:c r="BA79" s="12" t="n">
        <x:v>5</x:v>
      </x:c>
      <x:c r="BB79" s="12" t="n">
        <x:f>COUNTIFS($C$2:$C$344,C79,$AW$2:$AW$344,"&gt;"&amp;AW79,$G$2:$G$344,"&gt;0")+COUNTIFS($C$2:C79,C79,$AW$2:AW79,AW79,$G$2:G79,"&gt;0")</x:f>
        <x:v>41</x:v>
      </x:c>
      <x:c r="BC79" s="12" t="n">
        <x:v>42</x:v>
      </x:c>
      <x:c r="BD79" s="12" t="str">
        <x:f>IF(BB79&lt;BC79,"↑",IF(BB79&gt;BC79,"↓","→"))</x:f>
        <x:v>↑</x:v>
      </x:c>
      <x:c r="BE79" s="23" t="str">
        <x:v>Fantasy Football Brief ROS baseline; official NFL schedule</x:v>
      </x:c>
      <x:c r="BF79" s="23" t="str">
        <x:v>Current role and availability baseline; all adjustment factors shown numerically</x:v>
      </x:c>
      <x:c r="BG79" s="23" t="str">
        <x:v>Material injury, depth-chart, or role change</x:v>
      </x:c>
      <x:c r="BH79" s="24" t="str">
        <x:v>2026-09-23 10:35 CT</x:v>
      </x:c>
    </x:row>
    <x:row r="80">
      <x:c r="A80" s="12" t="str">
        <x:v>Woody Marks</x:v>
      </x:c>
      <x:c r="B80" s="12" t="str">
        <x:v>HOU</x:v>
      </x:c>
      <x:c r="C80" s="12" t="str">
        <x:v>RB</x:v>
      </x:c>
      <x:c r="D80" s="12" t="str">
        <x:v>IND</x:v>
      </x:c>
      <x:c r="E80" s="12" t="str">
        <x:v>Away</x:v>
      </x:c>
      <x:c r="F80" s="12" t="str">
        <x:v>2026-09-27</x:v>
      </x:c>
      <x:c r="G80" s="19" t="n">
        <x:v>1</x:v>
      </x:c>
      <x:c r="H80" s="20" t="str">
        <x:v>ACTIVE</x:v>
      </x:c>
      <x:c r="I80" s="20" t="n">
        <x:v>36</x:v>
      </x:c>
      <x:c r="J80" s="20" t="str">
        <x:v>Opportunities</x:v>
      </x:c>
      <x:c r="K80" s="20" t="n">
        <x:v>8.2834008097166</x:v>
      </x:c>
      <x:c r="L80" s="21" t="n">
        <x:v>0</x:v>
      </x:c>
      <x:c r="M80" s="21" t="n">
        <x:v>0</x:v>
      </x:c>
      <x:c r="N80" s="21" t="n">
        <x:v>0</x:v>
      </x:c>
      <x:c r="O80" s="21" t="n">
        <x:v>0</x:v>
      </x:c>
      <x:c r="P80" s="21" t="n">
        <x:v>0</x:v>
      </x:c>
      <x:c r="Q80" s="21" t="n">
        <x:v>0</x:v>
      </x:c>
      <x:c r="R80" s="21" t="n">
        <x:v>0</x:v>
      </x:c>
      <x:c r="S80" s="21" t="n">
        <x:v>0</x:v>
      </x:c>
      <x:c r="T80" s="21" t="n">
        <x:v>6.526315789473685</x:v>
      </x:c>
      <x:c r="U80" s="21" t="n">
        <x:v>28.82623481781377</x:v>
      </x:c>
      <x:c r="V80" s="21" t="n">
        <x:v>0.19880161943319843</x:v>
      </x:c>
      <x:c r="W80" s="21" t="n">
        <x:v>1.7570850202429154</x:v>
      </x:c>
      <x:c r="X80" s="21" t="n">
        <x:v>1.3554655870445347</x:v>
      </x:c>
      <x:c r="Y80" s="21" t="n">
        <x:v>10.934089068825912</x:v>
      </x:c>
      <x:c r="Z80" s="21" t="n">
        <x:v>0.04970040485829961</x:v>
      </x:c>
      <x:c r="AA80" s="21" t="n">
        <x:v>0</x:v>
      </x:c>
      <x:c r="AB80" s="21" t="n">
        <x:v>0</x:v>
      </x:c>
      <x:c r="AC80" s="21" t="n">
        <x:v>0</x:v>
      </x:c>
      <x:c r="AD80" s="21" t="n">
        <x:v>0</x:v>
      </x:c>
      <x:c r="AE80" s="21" t="n">
        <x:v>0</x:v>
      </x:c>
      <x:c r="AF80" s="21" t="n">
        <x:v>0</x:v>
      </x:c>
      <x:c r="AG80" s="21" t="n">
        <x:v>0</x:v>
      </x:c>
      <x:c r="AH80" s="21" t="n">
        <x:v>0</x:v>
      </x:c>
      <x:c r="AI80" s="21" t="n">
        <x:v>0</x:v>
      </x:c>
      <x:c r="AJ80" s="21" t="n">
        <x:v>0</x:v>
      </x:c>
      <x:c r="AK80" s="21" t="n">
        <x:v>0</x:v>
      </x:c>
      <x:c r="AL80" s="21" t="n">
        <x:v>0</x:v>
      </x:c>
      <x:c r="AM80" s="21" t="n">
        <x:v>1</x:v>
      </x:c>
      <x:c r="AN80" s="21" t="n">
        <x:v>1</x:v>
      </x:c>
      <x:c r="AO80" s="21" t="n">
        <x:v>1</x:v>
      </x:c>
      <x:c r="AP80" s="21" t="n">
        <x:v>0.99</x:v>
      </x:c>
      <x:c r="AQ80" s="21" t="n">
        <x:v>1</x:v>
      </x:c>
      <x:c r="AR80" s="21" t="n">
        <x:v>1</x:v>
      </x:c>
      <x:c r="AS80" s="21" t="n">
        <x:v>1</x:v>
      </x:c>
      <x:c r="AT80" s="21" t="n">
        <x:v>1</x:v>
      </x:c>
      <x:c r="AU80" s="21" t="n">
        <x:v>0</x:v>
      </x:c>
      <x:c r="AV80" s="22" t="n">
        <x:f>IF(C80="QB",N80*0.04+O80*4-P80*2+R80*0.1+S80*6,IF(OR(C80="RB",C80="WR",C80="TE"),U80*0.1+V80*6+R80*0.1+S80*6+X80*0.5+Y80*0.1+Z80*6,IF(C80="K",AC80*3+AD80*4+AE80*5+AF80,IF(C80="DST",AG80+AH80*2+AI80*6+AL80,0))))</x:f>
        <x:v>6.144777327935223</x:v>
      </x:c>
      <x:c r="AW80" s="22" t="n">
        <x:f>(AV80+AU80)*G80</x:f>
        <x:v>6.144777327935223</x:v>
      </x:c>
      <x:c r="AX80" s="22" t="n">
        <x:f>MAX(0,AW80*IF(C80="QB",0.68,IF(C80="RB",0.58,IF(C80="WR",0.52,IF(C80="TE",0.50,IF(C80="K",0.55,0.40))))))</x:f>
        <x:v>3.563970850202429</x:v>
      </x:c>
      <x:c r="AY80" s="22" t="n">
        <x:f>AW80*IF(C80="QB",1.32,IF(C80="RB",1.45,IF(C80="WR",1.55,IF(C80="TE",1.60,IF(C80="K",1.45,1.65)))))</x:f>
        <x:v>8.909927125506073</x:v>
      </x:c>
      <x:c r="AZ80" s="12" t="str">
        <x:v>High</x:v>
      </x:c>
      <x:c r="BA80" s="12" t="n">
        <x:v>5</x:v>
      </x:c>
      <x:c r="BB80" s="12" t="n">
        <x:f>COUNTIFS($C$2:$C$344,C80,$AW$2:$AW$344,"&gt;"&amp;AW80,$G$2:$G$344,"&gt;0")+COUNTIFS($C$2:C80,C80,$AW$2:AW80,AW80,$G$2:G80,"&gt;0")</x:f>
        <x:v>42</x:v>
      </x:c>
      <x:c r="BC80" s="12" t="n">
        <x:v>43</x:v>
      </x:c>
      <x:c r="BD80" s="12" t="str">
        <x:f>IF(BB80&lt;BC80,"↑",IF(BB80&gt;BC80,"↓","→"))</x:f>
        <x:v>↑</x:v>
      </x:c>
      <x:c r="BE80" s="23" t="str">
        <x:v>Fantasy Football Brief ROS baseline; official NFL schedule</x:v>
      </x:c>
      <x:c r="BF80" s="23" t="str">
        <x:v>Current role and availability baseline; all adjustment factors shown numerically</x:v>
      </x:c>
      <x:c r="BG80" s="23" t="str">
        <x:v>Material injury, depth-chart, or role change</x:v>
      </x:c>
      <x:c r="BH80" s="24" t="str">
        <x:v>2026-09-23 10:35 CT</x:v>
      </x:c>
    </x:row>
    <x:row r="81">
      <x:c r="A81" s="12" t="str">
        <x:v>Kaelon Black</x:v>
      </x:c>
      <x:c r="B81" s="12" t="str">
        <x:v>SF</x:v>
      </x:c>
      <x:c r="C81" s="12" t="str">
        <x:v>RB</x:v>
      </x:c>
      <x:c r="D81" s="12" t="str">
        <x:v>ARI</x:v>
      </x:c>
      <x:c r="E81" s="12" t="str">
        <x:v>Home</x:v>
      </x:c>
      <x:c r="F81" s="12" t="str">
        <x:v>2026-09-27</x:v>
      </x:c>
      <x:c r="G81" s="19" t="n">
        <x:v>1</x:v>
      </x:c>
      <x:c r="H81" s="20" t="str">
        <x:v>ACTIVE</x:v>
      </x:c>
      <x:c r="I81" s="20" t="n">
        <x:v>36</x:v>
      </x:c>
      <x:c r="J81" s="20" t="str">
        <x:v>Opportunities</x:v>
      </x:c>
      <x:c r="K81" s="20" t="n">
        <x:v>8.016194331983806</x:v>
      </x:c>
      <x:c r="L81" s="21" t="n">
        <x:v>0</x:v>
      </x:c>
      <x:c r="M81" s="21" t="n">
        <x:v>0</x:v>
      </x:c>
      <x:c r="N81" s="21" t="n">
        <x:v>0</x:v>
      </x:c>
      <x:c r="O81" s="21" t="n">
        <x:v>0</x:v>
      </x:c>
      <x:c r="P81" s="21" t="n">
        <x:v>0</x:v>
      </x:c>
      <x:c r="Q81" s="21" t="n">
        <x:v>0</x:v>
      </x:c>
      <x:c r="R81" s="21" t="n">
        <x:v>0</x:v>
      </x:c>
      <x:c r="S81" s="21" t="n">
        <x:v>0</x:v>
      </x:c>
      <x:c r="T81" s="21" t="n">
        <x:v>6.315789473684211</x:v>
      </x:c>
      <x:c r="U81" s="21" t="n">
        <x:v>28.741700404858303</x:v>
      </x:c>
      <x:c r="V81" s="21" t="n">
        <x:v>0.1982186234817814</x:v>
      </x:c>
      <x:c r="W81" s="21" t="n">
        <x:v>1.7004048582995952</x:v>
      </x:c>
      <x:c r="X81" s="21" t="n">
        <x:v>1.3117408906882593</x:v>
      </x:c>
      <x:c r="Y81" s="21" t="n">
        <x:v>10.902024291497977</x:v>
      </x:c>
      <x:c r="Z81" s="21" t="n">
        <x:v>0.04955465587044535</x:v>
      </x:c>
      <x:c r="AA81" s="21" t="n">
        <x:v>0</x:v>
      </x:c>
      <x:c r="AB81" s="21" t="n">
        <x:v>0</x:v>
      </x:c>
      <x:c r="AC81" s="21" t="n">
        <x:v>0</x:v>
      </x:c>
      <x:c r="AD81" s="21" t="n">
        <x:v>0</x:v>
      </x:c>
      <x:c r="AE81" s="21" t="n">
        <x:v>0</x:v>
      </x:c>
      <x:c r="AF81" s="21" t="n">
        <x:v>0</x:v>
      </x:c>
      <x:c r="AG81" s="21" t="n">
        <x:v>0</x:v>
      </x:c>
      <x:c r="AH81" s="21" t="n">
        <x:v>0</x:v>
      </x:c>
      <x:c r="AI81" s="21" t="n">
        <x:v>0</x:v>
      </x:c>
      <x:c r="AJ81" s="21" t="n">
        <x:v>0</x:v>
      </x:c>
      <x:c r="AK81" s="21" t="n">
        <x:v>0</x:v>
      </x:c>
      <x:c r="AL81" s="21" t="n">
        <x:v>0</x:v>
      </x:c>
      <x:c r="AM81" s="21" t="n">
        <x:v>1</x:v>
      </x:c>
      <x:c r="AN81" s="21" t="n">
        <x:v>1</x:v>
      </x:c>
      <x:c r="AO81" s="21" t="n">
        <x:v>1</x:v>
      </x:c>
      <x:c r="AP81" s="21" t="n">
        <x:v>1.02</x:v>
      </x:c>
      <x:c r="AQ81" s="21" t="n">
        <x:v>1</x:v>
      </x:c>
      <x:c r="AR81" s="21" t="n">
        <x:v>1</x:v>
      </x:c>
      <x:c r="AS81" s="21" t="n">
        <x:v>1</x:v>
      </x:c>
      <x:c r="AT81" s="21" t="n">
        <x:v>1</x:v>
      </x:c>
      <x:c r="AU81" s="21" t="n">
        <x:v>0</x:v>
      </x:c>
      <x:c r="AV81" s="22" t="n">
        <x:f>IF(C81="QB",N81*0.04+O81*4-P81*2+R81*0.1+S81*6,IF(OR(C81="RB",C81="WR",C81="TE"),U81*0.1+V81*6+R81*0.1+S81*6+X81*0.5+Y81*0.1+Z81*6,IF(C81="K",AC81*3+AD81*4+AE81*5+AF81,IF(C81="DST",AG81+AH81*2+AI81*6+AL81,0))))</x:f>
        <x:v>6.106882591093118</x:v>
      </x:c>
      <x:c r="AW81" s="22" t="n">
        <x:f>(AV81+AU81)*G81</x:f>
        <x:v>6.106882591093118</x:v>
      </x:c>
      <x:c r="AX81" s="22" t="n">
        <x:f>MAX(0,AW81*IF(C81="QB",0.68,IF(C81="RB",0.58,IF(C81="WR",0.52,IF(C81="TE",0.50,IF(C81="K",0.55,0.40))))))</x:f>
        <x:v>3.5419919028340083</x:v>
      </x:c>
      <x:c r="AY81" s="22" t="n">
        <x:f>AW81*IF(C81="QB",1.32,IF(C81="RB",1.45,IF(C81="WR",1.55,IF(C81="TE",1.60,IF(C81="K",1.45,1.65)))))</x:f>
        <x:v>8.85497975708502</x:v>
      </x:c>
      <x:c r="AZ81" s="12" t="str">
        <x:v>High</x:v>
      </x:c>
      <x:c r="BA81" s="12" t="n">
        <x:v>5</x:v>
      </x:c>
      <x:c r="BB81" s="12" t="n">
        <x:f>COUNTIFS($C$2:$C$344,C81,$AW$2:$AW$344,"&gt;"&amp;AW81,$G$2:$G$344,"&gt;0")+COUNTIFS($C$2:C81,C81,$AW$2:AW81,AW81,$G$2:G81,"&gt;0")</x:f>
        <x:v>43</x:v>
      </x:c>
      <x:c r="BC81" s="12" t="n">
        <x:v>44</x:v>
      </x:c>
      <x:c r="BD81" s="12" t="str">
        <x:f>IF(BB81&lt;BC81,"↑",IF(BB81&gt;BC81,"↓","→"))</x:f>
        <x:v>↑</x:v>
      </x:c>
      <x:c r="BE81" s="23" t="str">
        <x:v>Fantasy Football Brief ROS baseline; official NFL schedule</x:v>
      </x:c>
      <x:c r="BF81" s="23" t="str">
        <x:v>Current role and availability baseline; all adjustment factors shown numerically</x:v>
      </x:c>
      <x:c r="BG81" s="23" t="str">
        <x:v>Material injury, depth-chart, or role change</x:v>
      </x:c>
      <x:c r="BH81" s="24" t="str">
        <x:v>2026-09-23 10:35 CT</x:v>
      </x:c>
    </x:row>
    <x:row r="82">
      <x:c r="A82" s="12" t="str">
        <x:v>Tyjae Spears</x:v>
      </x:c>
      <x:c r="B82" s="12" t="str">
        <x:v>TEN</x:v>
      </x:c>
      <x:c r="C82" s="12" t="str">
        <x:v>RB</x:v>
      </x:c>
      <x:c r="D82" s="12" t="str">
        <x:v>NYG</x:v>
      </x:c>
      <x:c r="E82" s="12" t="str">
        <x:v>Away</x:v>
      </x:c>
      <x:c r="F82" s="12" t="str">
        <x:v>2026-09-27</x:v>
      </x:c>
      <x:c r="G82" s="19" t="n">
        <x:v>1</x:v>
      </x:c>
      <x:c r="H82" s="20" t="str">
        <x:v>ACTIVE</x:v>
      </x:c>
      <x:c r="I82" s="20" t="n">
        <x:v>36</x:v>
      </x:c>
      <x:c r="J82" s="20" t="str">
        <x:v>Opportunities</x:v>
      </x:c>
      <x:c r="K82" s="20" t="n">
        <x:v>8.149797570850202</x:v>
      </x:c>
      <x:c r="L82" s="21" t="n">
        <x:v>0</x:v>
      </x:c>
      <x:c r="M82" s="21" t="n">
        <x:v>0</x:v>
      </x:c>
      <x:c r="N82" s="21" t="n">
        <x:v>0</x:v>
      </x:c>
      <x:c r="O82" s="21" t="n">
        <x:v>0</x:v>
      </x:c>
      <x:c r="P82" s="21" t="n">
        <x:v>0</x:v>
      </x:c>
      <x:c r="Q82" s="21" t="n">
        <x:v>0</x:v>
      </x:c>
      <x:c r="R82" s="21" t="n">
        <x:v>0</x:v>
      </x:c>
      <x:c r="S82" s="21" t="n">
        <x:v>0</x:v>
      </x:c>
      <x:c r="T82" s="21" t="n">
        <x:v>6.421052631578947</x:v>
      </x:c>
      <x:c r="U82" s="21" t="n">
        <x:v>28.326918218623483</x:v>
      </x:c>
      <x:c r="V82" s="21" t="n">
        <x:v>0.19535805668016196</x:v>
      </x:c>
      <x:c r="W82" s="21" t="n">
        <x:v>1.728744939271255</x:v>
      </x:c>
      <x:c r="X82" s="21" t="n">
        <x:v>1.3336032388663968</x:v>
      </x:c>
      <x:c r="Y82" s="21" t="n">
        <x:v>10.744693117408907</x:v>
      </x:c>
      <x:c r="Z82" s="21" t="n">
        <x:v>0.04883951417004049</x:v>
      </x:c>
      <x:c r="AA82" s="21" t="n">
        <x:v>0</x:v>
      </x:c>
      <x:c r="AB82" s="21" t="n">
        <x:v>0</x:v>
      </x:c>
      <x:c r="AC82" s="21" t="n">
        <x:v>0</x:v>
      </x:c>
      <x:c r="AD82" s="21" t="n">
        <x:v>0</x:v>
      </x:c>
      <x:c r="AE82" s="21" t="n">
        <x:v>0</x:v>
      </x:c>
      <x:c r="AF82" s="21" t="n">
        <x:v>0</x:v>
      </x:c>
      <x:c r="AG82" s="21" t="n">
        <x:v>0</x:v>
      </x:c>
      <x:c r="AH82" s="21" t="n">
        <x:v>0</x:v>
      </x:c>
      <x:c r="AI82" s="21" t="n">
        <x:v>0</x:v>
      </x:c>
      <x:c r="AJ82" s="21" t="n">
        <x:v>0</x:v>
      </x:c>
      <x:c r="AK82" s="21" t="n">
        <x:v>0</x:v>
      </x:c>
      <x:c r="AL82" s="21" t="n">
        <x:v>0</x:v>
      </x:c>
      <x:c r="AM82" s="21" t="n">
        <x:v>1</x:v>
      </x:c>
      <x:c r="AN82" s="21" t="n">
        <x:v>1</x:v>
      </x:c>
      <x:c r="AO82" s="21" t="n">
        <x:v>1</x:v>
      </x:c>
      <x:c r="AP82" s="21" t="n">
        <x:v>0.96</x:v>
      </x:c>
      <x:c r="AQ82" s="21" t="n">
        <x:v>1.03</x:v>
      </x:c>
      <x:c r="AR82" s="21" t="n">
        <x:v>1</x:v>
      </x:c>
      <x:c r="AS82" s="21" t="n">
        <x:v>1</x:v>
      </x:c>
      <x:c r="AT82" s="21" t="n">
        <x:v>1</x:v>
      </x:c>
      <x:c r="AU82" s="21" t="n">
        <x:v>0</x:v>
      </x:c>
      <x:c r="AV82" s="22" t="n">
        <x:f>IF(C82="QB",N82*0.04+O82*4-P82*2+R82*0.1+S82*6,IF(OR(C82="RB",C82="WR",C82="TE"),U82*0.1+V82*6+R82*0.1+S82*6+X82*0.5+Y82*0.1+Z82*6,IF(C82="K",AC82*3+AD82*4+AE82*5+AF82,IF(C82="DST",AG82+AH82*2+AI82*6+AL82,0))))</x:f>
        <x:v>6.039148178137653</x:v>
      </x:c>
      <x:c r="AW82" s="22" t="n">
        <x:f>(AV82+AU82)*G82</x:f>
        <x:v>6.039148178137653</x:v>
      </x:c>
      <x:c r="AX82" s="22" t="n">
        <x:f>MAX(0,AW82*IF(C82="QB",0.68,IF(C82="RB",0.58,IF(C82="WR",0.52,IF(C82="TE",0.50,IF(C82="K",0.55,0.40))))))</x:f>
        <x:v>3.5027059433198384</x:v>
      </x:c>
      <x:c r="AY82" s="22" t="n">
        <x:f>AW82*IF(C82="QB",1.32,IF(C82="RB",1.45,IF(C82="WR",1.55,IF(C82="TE",1.60,IF(C82="K",1.45,1.65)))))</x:f>
        <x:v>8.756764858299597</x:v>
      </x:c>
      <x:c r="AZ82" s="12" t="str">
        <x:v>High</x:v>
      </x:c>
      <x:c r="BA82" s="12" t="n">
        <x:v>5</x:v>
      </x:c>
      <x:c r="BB82" s="12" t="n">
        <x:f>COUNTIFS($C$2:$C$344,C82,$AW$2:$AW$344,"&gt;"&amp;AW82,$G$2:$G$344,"&gt;0")+COUNTIFS($C$2:C82,C82,$AW$2:AW82,AW82,$G$2:G82,"&gt;0")</x:f>
        <x:v>44</x:v>
      </x:c>
      <x:c r="BC82" s="12" t="n">
        <x:v>45</x:v>
      </x:c>
      <x:c r="BD82" s="12" t="str">
        <x:f>IF(BB82&lt;BC82,"↑",IF(BB82&gt;BC82,"↓","→"))</x:f>
        <x:v>↑</x:v>
      </x:c>
      <x:c r="BE82" s="23" t="str">
        <x:v>Fantasy Football Brief ROS baseline; official NFL schedule</x:v>
      </x:c>
      <x:c r="BF82" s="23" t="str">
        <x:v>Current role and availability baseline; all adjustment factors shown numerically</x:v>
      </x:c>
      <x:c r="BG82" s="23" t="str">
        <x:v>Material injury, depth-chart, or role change</x:v>
      </x:c>
      <x:c r="BH82" s="24" t="str">
        <x:v>2026-09-23 10:35 CT</x:v>
      </x:c>
    </x:row>
    <x:row r="83">
      <x:c r="A83" s="12" t="str">
        <x:v>Jonah Coleman</x:v>
      </x:c>
      <x:c r="B83" s="12" t="str">
        <x:v>DEN</x:v>
      </x:c>
      <x:c r="C83" s="12" t="str">
        <x:v>RB</x:v>
      </x:c>
      <x:c r="D83" s="12" t="str">
        <x:v>LAR</x:v>
      </x:c>
      <x:c r="E83" s="12" t="str">
        <x:v>Home</x:v>
      </x:c>
      <x:c r="F83" s="12" t="str">
        <x:v>2026-09-27</x:v>
      </x:c>
      <x:c r="G83" s="19" t="n">
        <x:v>1</x:v>
      </x:c>
      <x:c r="H83" s="20" t="str">
        <x:v>ACTIVE</x:v>
      </x:c>
      <x:c r="I83" s="20" t="n">
        <x:v>36</x:v>
      </x:c>
      <x:c r="J83" s="20" t="str">
        <x:v>Opportunities</x:v>
      </x:c>
      <x:c r="K83" s="20" t="n">
        <x:v>8.2834008097166</x:v>
      </x:c>
      <x:c r="L83" s="21" t="n">
        <x:v>0</x:v>
      </x:c>
      <x:c r="M83" s="21" t="n">
        <x:v>0</x:v>
      </x:c>
      <x:c r="N83" s="21" t="n">
        <x:v>0</x:v>
      </x:c>
      <x:c r="O83" s="21" t="n">
        <x:v>0</x:v>
      </x:c>
      <x:c r="P83" s="21" t="n">
        <x:v>0</x:v>
      </x:c>
      <x:c r="Q83" s="21" t="n">
        <x:v>0</x:v>
      </x:c>
      <x:c r="R83" s="21" t="n">
        <x:v>0</x:v>
      </x:c>
      <x:c r="S83" s="21" t="n">
        <x:v>0</x:v>
      </x:c>
      <x:c r="T83" s="21" t="n">
        <x:v>6.526315789473685</x:v>
      </x:c>
      <x:c r="U83" s="21" t="n">
        <x:v>28.243886639676116</x:v>
      </x:c>
      <x:c r="V83" s="21" t="n">
        <x:v>0.19478542510121463</x:v>
      </x:c>
      <x:c r="W83" s="21" t="n">
        <x:v>1.7570850202429154</x:v>
      </x:c>
      <x:c r="X83" s="21" t="n">
        <x:v>1.3554655870445347</x:v>
      </x:c>
      <x:c r="Y83" s="21" t="n">
        <x:v>10.713198380566803</x:v>
      </x:c>
      <x:c r="Z83" s="21" t="n">
        <x:v>0.04869635627530366</x:v>
      </x:c>
      <x:c r="AA83" s="21" t="n">
        <x:v>0</x:v>
      </x:c>
      <x:c r="AB83" s="21" t="n">
        <x:v>0</x:v>
      </x:c>
      <x:c r="AC83" s="21" t="n">
        <x:v>0</x:v>
      </x:c>
      <x:c r="AD83" s="21" t="n">
        <x:v>0</x:v>
      </x:c>
      <x:c r="AE83" s="21" t="n">
        <x:v>0</x:v>
      </x:c>
      <x:c r="AF83" s="21" t="n">
        <x:v>0</x:v>
      </x:c>
      <x:c r="AG83" s="21" t="n">
        <x:v>0</x:v>
      </x:c>
      <x:c r="AH83" s="21" t="n">
        <x:v>0</x:v>
      </x:c>
      <x:c r="AI83" s="21" t="n">
        <x:v>0</x:v>
      </x:c>
      <x:c r="AJ83" s="21" t="n">
        <x:v>0</x:v>
      </x:c>
      <x:c r="AK83" s="21" t="n">
        <x:v>0</x:v>
      </x:c>
      <x:c r="AL83" s="21" t="n">
        <x:v>0</x:v>
      </x:c>
      <x:c r="AM83" s="21" t="n">
        <x:v>1</x:v>
      </x:c>
      <x:c r="AN83" s="21" t="n">
        <x:v>1</x:v>
      </x:c>
      <x:c r="AO83" s="21" t="n">
        <x:v>1</x:v>
      </x:c>
      <x:c r="AP83" s="21" t="n">
        <x:v>1</x:v>
      </x:c>
      <x:c r="AQ83" s="21" t="n">
        <x:v>0.97</x:v>
      </x:c>
      <x:c r="AR83" s="21" t="n">
        <x:v>1</x:v>
      </x:c>
      <x:c r="AS83" s="21" t="n">
        <x:v>1</x:v>
      </x:c>
      <x:c r="AT83" s="21" t="n">
        <x:v>1</x:v>
      </x:c>
      <x:c r="AU83" s="21" t="n">
        <x:v>0</x:v>
      </x:c>
      <x:c r="AV83" s="22" t="n">
        <x:f>IF(C83="QB",N83*0.04+O83*4-P83*2+R83*0.1+S83*6,IF(OR(C83="RB",C83="WR",C83="TE"),U83*0.1+V83*6+R83*0.1+S83*6+X83*0.5+Y83*0.1+Z83*6,IF(C83="K",AC83*3+AD83*4+AE83*5+AF83,IF(C83="DST",AG83+AH83*2+AI83*6+AL83,0))))</x:f>
        <x:v>6.03433198380567</x:v>
      </x:c>
      <x:c r="AW83" s="22" t="n">
        <x:f>(AV83+AU83)*G83</x:f>
        <x:v>6.03433198380567</x:v>
      </x:c>
      <x:c r="AX83" s="22" t="n">
        <x:f>MAX(0,AW83*IF(C83="QB",0.68,IF(C83="RB",0.58,IF(C83="WR",0.52,IF(C83="TE",0.50,IF(C83="K",0.55,0.40))))))</x:f>
        <x:v>3.4999125506072883</x:v>
      </x:c>
      <x:c r="AY83" s="22" t="n">
        <x:f>AW83*IF(C83="QB",1.32,IF(C83="RB",1.45,IF(C83="WR",1.55,IF(C83="TE",1.60,IF(C83="K",1.45,1.65)))))</x:f>
        <x:v>8.749781376518222</x:v>
      </x:c>
      <x:c r="AZ83" s="12" t="str">
        <x:v>High</x:v>
      </x:c>
      <x:c r="BA83" s="12" t="n">
        <x:v>5</x:v>
      </x:c>
      <x:c r="BB83" s="12" t="n">
        <x:f>COUNTIFS($C$2:$C$344,C83,$AW$2:$AW$344,"&gt;"&amp;AW83,$G$2:$G$344,"&gt;0")+COUNTIFS($C$2:C83,C83,$AW$2:AW83,AW83,$G$2:G83,"&gt;0")</x:f>
        <x:v>45</x:v>
      </x:c>
      <x:c r="BC83" s="12" t="n">
        <x:v>46</x:v>
      </x:c>
      <x:c r="BD83" s="12" t="str">
        <x:f>IF(BB83&lt;BC83,"↑",IF(BB83&gt;BC83,"↓","→"))</x:f>
        <x:v>↑</x:v>
      </x:c>
      <x:c r="BE83" s="23" t="str">
        <x:v>Fantasy Football Brief ROS baseline; official NFL schedule</x:v>
      </x:c>
      <x:c r="BF83" s="23" t="str">
        <x:v>Current role and availability baseline; all adjustment factors shown numerically</x:v>
      </x:c>
      <x:c r="BG83" s="23" t="str">
        <x:v>Material injury, depth-chart, or role change</x:v>
      </x:c>
      <x:c r="BH83" s="24" t="str">
        <x:v>2026-09-23 10:35 CT</x:v>
      </x:c>
    </x:row>
    <x:row r="84">
      <x:c r="A84" s="12" t="str">
        <x:v>Jordan Mason</x:v>
      </x:c>
      <x:c r="B84" s="12" t="str">
        <x:v>MIN</x:v>
      </x:c>
      <x:c r="C84" s="12" t="str">
        <x:v>RB</x:v>
      </x:c>
      <x:c r="D84" s="12" t="str">
        <x:v>TB</x:v>
      </x:c>
      <x:c r="E84" s="12" t="str">
        <x:v>Away</x:v>
      </x:c>
      <x:c r="F84" s="12" t="str">
        <x:v>2026-09-27</x:v>
      </x:c>
      <x:c r="G84" s="19" t="n">
        <x:v>0</x:v>
      </x:c>
      <x:c r="H84" s="20" t="str">
        <x:v>IR</x:v>
      </x:c>
      <x:c r="I84" s="20" t="n">
        <x:v>25.2</x:v>
      </x:c>
      <x:c r="J84" s="20" t="str">
        <x:v>Opportunities</x:v>
      </x:c>
      <x:c r="K84" s="20" t="n">
        <x:v>11.356275303643725</x:v>
      </x:c>
      <x:c r="L84" s="21" t="n">
        <x:v>0</x:v>
      </x:c>
      <x:c r="M84" s="21" t="n">
        <x:v>0</x:v>
      </x:c>
      <x:c r="N84" s="21" t="n">
        <x:v>0</x:v>
      </x:c>
      <x:c r="O84" s="21" t="n">
        <x:v>0</x:v>
      </x:c>
      <x:c r="P84" s="21" t="n">
        <x:v>0</x:v>
      </x:c>
      <x:c r="Q84" s="21" t="n">
        <x:v>0</x:v>
      </x:c>
      <x:c r="R84" s="21" t="n">
        <x:v>0</x:v>
      </x:c>
      <x:c r="S84" s="21" t="n">
        <x:v>0</x:v>
      </x:c>
      <x:c r="T84" s="21" t="n">
        <x:v>8.947368421052632</x:v>
      </x:c>
      <x:c r="U84" s="21" t="n">
        <x:v>39.519838056680165</x:v>
      </x:c>
      <x:c r="V84" s="21" t="n">
        <x:v>0.27255060728744945</x:v>
      </x:c>
      <x:c r="W84" s="21" t="n">
        <x:v>2.4089068825910935</x:v>
      </x:c>
      <x:c r="X84" s="21" t="n">
        <x:v>1.8582995951417007</x:v>
      </x:c>
      <x:c r="Y84" s="21" t="n">
        <x:v>14.99028340080972</x:v>
      </x:c>
      <x:c r="Z84" s="21" t="n">
        <x:v>0.06813765182186236</x:v>
      </x:c>
      <x:c r="AA84" s="21" t="n">
        <x:v>0</x:v>
      </x:c>
      <x:c r="AB84" s="21" t="n">
        <x:v>0</x:v>
      </x:c>
      <x:c r="AC84" s="21" t="n">
        <x:v>0</x:v>
      </x:c>
      <x:c r="AD84" s="21" t="n">
        <x:v>0</x:v>
      </x:c>
      <x:c r="AE84" s="21" t="n">
        <x:v>0</x:v>
      </x:c>
      <x:c r="AF84" s="21" t="n">
        <x:v>0</x:v>
      </x:c>
      <x:c r="AG84" s="21" t="n">
        <x:v>0</x:v>
      </x:c>
      <x:c r="AH84" s="21" t="n">
        <x:v>0</x:v>
      </x:c>
      <x:c r="AI84" s="21" t="n">
        <x:v>0</x:v>
      </x:c>
      <x:c r="AJ84" s="21" t="n">
        <x:v>0</x:v>
      </x:c>
      <x:c r="AK84" s="21" t="n">
        <x:v>0</x:v>
      </x:c>
      <x:c r="AL84" s="21" t="n">
        <x:v>0</x:v>
      </x:c>
      <x:c r="AM84" s="21" t="n">
        <x:v>0.7</x:v>
      </x:c>
      <x:c r="AN84" s="21" t="n">
        <x:v>1</x:v>
      </x:c>
      <x:c r="AO84" s="21" t="n">
        <x:v>1</x:v>
      </x:c>
      <x:c r="AP84" s="21" t="n">
        <x:v>0.99</x:v>
      </x:c>
      <x:c r="AQ84" s="21" t="n">
        <x:v>1</x:v>
      </x:c>
      <x:c r="AR84" s="21" t="n">
        <x:v>1</x:v>
      </x:c>
      <x:c r="AS84" s="21" t="n">
        <x:v>1</x:v>
      </x:c>
      <x:c r="AT84" s="21" t="n">
        <x:v>1</x:v>
      </x:c>
      <x:c r="AU84" s="21" t="n">
        <x:v>0</x:v>
      </x:c>
      <x:c r="AV84" s="22" t="n">
        <x:f>IF(C84="QB",N84*0.04+O84*4-P84*2+R84*0.1+S84*6,IF(OR(C84="RB",C84="WR",C84="TE"),U84*0.1+V84*6+R84*0.1+S84*6+X84*0.5+Y84*0.1+Z84*6,IF(C84="K",AC84*3+AD84*4+AE84*5+AF84,IF(C84="DST",AG84+AH84*2+AI84*6+AL84,0))))</x:f>
        <x:v>8.424291497975709</x:v>
      </x:c>
      <x:c r="AW84" s="22" t="n">
        <x:f>(AV84+AU84)*G84</x:f>
        <x:v>0</x:v>
      </x:c>
      <x:c r="AX84" s="22" t="n">
        <x:f>MAX(0,AW84*IF(C84="QB",0.68,IF(C84="RB",0.58,IF(C84="WR",0.52,IF(C84="TE",0.50,IF(C84="K",0.55,0.40))))))</x:f>
        <x:v>0</x:v>
      </x:c>
      <x:c r="AY84" s="22" t="n">
        <x:f>AW84*IF(C84="QB",1.32,IF(C84="RB",1.45,IF(C84="WR",1.55,IF(C84="TE",1.60,IF(C84="K",1.45,1.65)))))</x:f>
        <x:v>0</x:v>
      </x:c>
      <x:c r="AZ84" s="12" t="str">
        <x:v>High</x:v>
      </x:c>
      <x:c r="BA84" s="12" t="n">
        <x:v>5</x:v>
      </x:c>
      <x:c r="BB84" s="12"/>
      <x:c r="BC84" s="12" t="str">
        <x:v>NR</x:v>
      </x:c>
      <x:c r="BD84" s="12" t="str">
        <x:v>New</x:v>
      </x:c>
      <x:c r="BE84" s="23" t="str">
        <x:v>https://www.vikings.com/news/jordan-mason-injured-reserve-deejay-dallas-signing-2026</x:v>
      </x:c>
      <x:c r="BF84" s="23" t="str">
        <x:v>Minnesota placed Mason on injured reserve after thumb surgery. Conditional inputs remain visible for audit; expected Week 3 points are zero.</x:v>
      </x:c>
      <x:c r="BG84" s="23" t="str">
        <x:v>Official activation or new-team transaction</x:v>
      </x:c>
      <x:c r="BH84" s="24" t="str">
        <x:v>2026-09-24 1:18 PM CT</x:v>
      </x:c>
    </x:row>
    <x:row r="85">
      <x:c r="A85" s="12" t="str">
        <x:v>Rachaad White</x:v>
      </x:c>
      <x:c r="B85" s="12" t="str">
        <x:v>WAS</x:v>
      </x:c>
      <x:c r="C85" s="12" t="str">
        <x:v>RB</x:v>
      </x:c>
      <x:c r="D85" s="12" t="str">
        <x:v>SEA</x:v>
      </x:c>
      <x:c r="E85" s="12" t="str">
        <x:v>Home</x:v>
      </x:c>
      <x:c r="F85" s="12" t="str">
        <x:v>2026-09-27</x:v>
      </x:c>
      <x:c r="G85" s="19" t="n">
        <x:v>1</x:v>
      </x:c>
      <x:c r="H85" s="20" t="str">
        <x:v>ACTIVE</x:v>
      </x:c>
      <x:c r="I85" s="20" t="n">
        <x:v>36</x:v>
      </x:c>
      <x:c r="J85" s="20" t="str">
        <x:v>Opportunities</x:v>
      </x:c>
      <x:c r="K85" s="20" t="n">
        <x:v>8.149797570850202</x:v>
      </x:c>
      <x:c r="L85" s="21" t="n">
        <x:v>0</x:v>
      </x:c>
      <x:c r="M85" s="21" t="n">
        <x:v>0</x:v>
      </x:c>
      <x:c r="N85" s="21" t="n">
        <x:v>0</x:v>
      </x:c>
      <x:c r="O85" s="21" t="n">
        <x:v>0</x:v>
      </x:c>
      <x:c r="P85" s="21" t="n">
        <x:v>0</x:v>
      </x:c>
      <x:c r="Q85" s="21" t="n">
        <x:v>0</x:v>
      </x:c>
      <x:c r="R85" s="21" t="n">
        <x:v>0</x:v>
      </x:c>
      <x:c r="S85" s="21" t="n">
        <x:v>0</x:v>
      </x:c>
      <x:c r="T85" s="21" t="n">
        <x:v>6.421052631578947</x:v>
      </x:c>
      <x:c r="U85" s="21" t="n">
        <x:v>27.51045668016194</x:v>
      </x:c>
      <x:c r="V85" s="21" t="n">
        <x:v>0.1897272874493927</x:v>
      </x:c>
      <x:c r="W85" s="21" t="n">
        <x:v>1.728744939271255</x:v>
      </x:c>
      <x:c r="X85" s="21" t="n">
        <x:v>1.3336032388663968</x:v>
      </x:c>
      <x:c r="Y85" s="21" t="n">
        <x:v>10.4350008097166</x:v>
      </x:c>
      <x:c r="Z85" s="21" t="n">
        <x:v>0.04743182186234818</x:v>
      </x:c>
      <x:c r="AA85" s="21" t="n">
        <x:v>0</x:v>
      </x:c>
      <x:c r="AB85" s="21" t="n">
        <x:v>0</x:v>
      </x:c>
      <x:c r="AC85" s="21" t="n">
        <x:v>0</x:v>
      </x:c>
      <x:c r="AD85" s="21" t="n">
        <x:v>0</x:v>
      </x:c>
      <x:c r="AE85" s="21" t="n">
        <x:v>0</x:v>
      </x:c>
      <x:c r="AF85" s="21" t="n">
        <x:v>0</x:v>
      </x:c>
      <x:c r="AG85" s="21" t="n">
        <x:v>0</x:v>
      </x:c>
      <x:c r="AH85" s="21" t="n">
        <x:v>0</x:v>
      </x:c>
      <x:c r="AI85" s="21" t="n">
        <x:v>0</x:v>
      </x:c>
      <x:c r="AJ85" s="21" t="n">
        <x:v>0</x:v>
      </x:c>
      <x:c r="AK85" s="21" t="n">
        <x:v>0</x:v>
      </x:c>
      <x:c r="AL85" s="21" t="n">
        <x:v>0</x:v>
      </x:c>
      <x:c r="AM85" s="21" t="n">
        <x:v>1</x:v>
      </x:c>
      <x:c r="AN85" s="21" t="n">
        <x:v>1</x:v>
      </x:c>
      <x:c r="AO85" s="21" t="n">
        <x:v>1</x:v>
      </x:c>
      <x:c r="AP85" s="21" t="n">
        <x:v>0.97</x:v>
      </x:c>
      <x:c r="AQ85" s="21" t="n">
        <x:v>0.99</x:v>
      </x:c>
      <x:c r="AR85" s="21" t="n">
        <x:v>1</x:v>
      </x:c>
      <x:c r="AS85" s="21" t="n">
        <x:v>1</x:v>
      </x:c>
      <x:c r="AT85" s="21" t="n">
        <x:v>1</x:v>
      </x:c>
      <x:c r="AU85" s="21" t="n">
        <x:v>0</x:v>
      </x:c>
      <x:c r="AV85" s="22" t="n">
        <x:f>IF(C85="QB",N85*0.04+O85*4-P85*2+R85*0.1+S85*6,IF(OR(C85="RB",C85="WR",C85="TE"),U85*0.1+V85*6+R85*0.1+S85*6+X85*0.5+Y85*0.1+Z85*6,IF(C85="K",AC85*3+AD85*4+AE85*5+AF85,IF(C85="DST",AG85+AH85*2+AI85*6+AL85,0))))</x:f>
        <x:v>5.8843020242914985</x:v>
      </x:c>
      <x:c r="AW85" s="22" t="n">
        <x:f>(AV85+AU85)*G85</x:f>
        <x:v>5.8843020242914985</x:v>
      </x:c>
      <x:c r="AX85" s="22" t="n">
        <x:f>MAX(0,AW85*IF(C85="QB",0.68,IF(C85="RB",0.58,IF(C85="WR",0.52,IF(C85="TE",0.50,IF(C85="K",0.55,0.40))))))</x:f>
        <x:v>3.4128951740890687</x:v>
      </x:c>
      <x:c r="AY85" s="22" t="n">
        <x:f>AW85*IF(C85="QB",1.32,IF(C85="RB",1.45,IF(C85="WR",1.55,IF(C85="TE",1.60,IF(C85="K",1.45,1.65)))))</x:f>
        <x:v>8.532237935222673</x:v>
      </x:c>
      <x:c r="AZ85" s="12" t="str">
        <x:v>High</x:v>
      </x:c>
      <x:c r="BA85" s="12" t="n">
        <x:v>5</x:v>
      </x:c>
      <x:c r="BB85" s="12" t="n">
        <x:f>COUNTIFS($C$2:$C$344,C85,$AW$2:$AW$344,"&gt;"&amp;AW85,$G$2:$G$344,"&gt;0")+COUNTIFS($C$2:C85,C85,$AW$2:AW85,AW85,$G$2:G85,"&gt;0")</x:f>
        <x:v>46</x:v>
      </x:c>
      <x:c r="BC85" s="12" t="n">
        <x:v>47</x:v>
      </x:c>
      <x:c r="BD85" s="12" t="str">
        <x:f>IF(BB85&lt;BC85,"↑",IF(BB85&gt;BC85,"↓","→"))</x:f>
        <x:v>↑</x:v>
      </x:c>
      <x:c r="BE85" s="23" t="str">
        <x:v>Fantasy Football Brief ROS baseline; official NFL schedule</x:v>
      </x:c>
      <x:c r="BF85" s="23" t="str">
        <x:v>Current role and availability baseline; all adjustment factors shown numerically</x:v>
      </x:c>
      <x:c r="BG85" s="23" t="str">
        <x:v>Material injury, depth-chart, or role change</x:v>
      </x:c>
      <x:c r="BH85" s="24" t="str">
        <x:v>2026-09-23 10:35 CT</x:v>
      </x:c>
    </x:row>
    <x:row r="86">
      <x:c r="A86" s="12" t="str">
        <x:v>Blake Corum</x:v>
      </x:c>
      <x:c r="B86" s="12" t="str">
        <x:v>LAR</x:v>
      </x:c>
      <x:c r="C86" s="12" t="str">
        <x:v>RB</x:v>
      </x:c>
      <x:c r="D86" s="12" t="str">
        <x:v>DEN</x:v>
      </x:c>
      <x:c r="E86" s="12" t="str">
        <x:v>Away</x:v>
      </x:c>
      <x:c r="F86" s="12" t="str">
        <x:v>2026-09-27</x:v>
      </x:c>
      <x:c r="G86" s="19" t="n">
        <x:v>1</x:v>
      </x:c>
      <x:c r="H86" s="20" t="str">
        <x:v>ACTIVE</x:v>
      </x:c>
      <x:c r="I86" s="20" t="n">
        <x:v>36</x:v>
      </x:c>
      <x:c r="J86" s="20" t="str">
        <x:v>Opportunities</x:v>
      </x:c>
      <x:c r="K86" s="20" t="n">
        <x:v>7.88259109311741</x:v>
      </x:c>
      <x:c r="L86" s="21" t="n">
        <x:v>0</x:v>
      </x:c>
      <x:c r="M86" s="21" t="n">
        <x:v>0</x:v>
      </x:c>
      <x:c r="N86" s="21" t="n">
        <x:v>0</x:v>
      </x:c>
      <x:c r="O86" s="21" t="n">
        <x:v>0</x:v>
      </x:c>
      <x:c r="P86" s="21" t="n">
        <x:v>0</x:v>
      </x:c>
      <x:c r="Q86" s="21" t="n">
        <x:v>0</x:v>
      </x:c>
      <x:c r="R86" s="21" t="n">
        <x:v>0</x:v>
      </x:c>
      <x:c r="S86" s="21" t="n">
        <x:v>0</x:v>
      </x:c>
      <x:c r="T86" s="21" t="n">
        <x:v>6.210526315789474</x:v>
      </x:c>
      <x:c r="U86" s="21" t="n">
        <x:v>26.54197408906883</x:v>
      </x:c>
      <x:c r="V86" s="21" t="n">
        <x:v>0.18304809716599196</x:v>
      </x:c>
      <x:c r="W86" s="21" t="n">
        <x:v>1.6720647773279356</x:v>
      </x:c>
      <x:c r="X86" s="21" t="n">
        <x:v>1.2898785425101218</x:v>
      </x:c>
      <x:c r="Y86" s="21" t="n">
        <x:v>10.067645344129557</x:v>
      </x:c>
      <x:c r="Z86" s="21" t="n">
        <x:v>0.04576202429149799</x:v>
      </x:c>
      <x:c r="AA86" s="21" t="n">
        <x:v>0</x:v>
      </x:c>
      <x:c r="AB86" s="21" t="n">
        <x:v>0</x:v>
      </x:c>
      <x:c r="AC86" s="21" t="n">
        <x:v>0</x:v>
      </x:c>
      <x:c r="AD86" s="21" t="n">
        <x:v>0</x:v>
      </x:c>
      <x:c r="AE86" s="21" t="n">
        <x:v>0</x:v>
      </x:c>
      <x:c r="AF86" s="21" t="n">
        <x:v>0</x:v>
      </x:c>
      <x:c r="AG86" s="21" t="n">
        <x:v>0</x:v>
      </x:c>
      <x:c r="AH86" s="21" t="n">
        <x:v>0</x:v>
      </x:c>
      <x:c r="AI86" s="21" t="n">
        <x:v>0</x:v>
      </x:c>
      <x:c r="AJ86" s="21" t="n">
        <x:v>0</x:v>
      </x:c>
      <x:c r="AK86" s="21" t="n">
        <x:v>0</x:v>
      </x:c>
      <x:c r="AL86" s="21" t="n">
        <x:v>0</x:v>
      </x:c>
      <x:c r="AM86" s="21" t="n">
        <x:v>1</x:v>
      </x:c>
      <x:c r="AN86" s="21" t="n">
        <x:v>1</x:v>
      </x:c>
      <x:c r="AO86" s="21" t="n">
        <x:v>1</x:v>
      </x:c>
      <x:c r="AP86" s="21" t="n">
        <x:v>1.03</x:v>
      </x:c>
      <x:c r="AQ86" s="21" t="n">
        <x:v>0.93</x:v>
      </x:c>
      <x:c r="AR86" s="21" t="n">
        <x:v>1</x:v>
      </x:c>
      <x:c r="AS86" s="21" t="n">
        <x:v>1</x:v>
      </x:c>
      <x:c r="AT86" s="21" t="n">
        <x:v>1</x:v>
      </x:c>
      <x:c r="AU86" s="21" t="n">
        <x:v>0</x:v>
      </x:c>
      <x:c r="AV86" s="22" t="n">
        <x:f>IF(C86="QB",N86*0.04+O86*4-P86*2+R86*0.1+S86*6,IF(OR(C86="RB",C86="WR",C86="TE"),U86*0.1+V86*6+R86*0.1+S86*6+X86*0.5+Y86*0.1+Z86*6,IF(C86="K",AC86*3+AD86*4+AE86*5+AF86,IF(C86="DST",AG86+AH86*2+AI86*6+AL86,0))))</x:f>
        <x:v>5.67876194331984</x:v>
      </x:c>
      <x:c r="AW86" s="22" t="n">
        <x:f>(AV86+AU86)*G86</x:f>
        <x:v>5.67876194331984</x:v>
      </x:c>
      <x:c r="AX86" s="22" t="n">
        <x:f>MAX(0,AW86*IF(C86="QB",0.68,IF(C86="RB",0.58,IF(C86="WR",0.52,IF(C86="TE",0.50,IF(C86="K",0.55,0.40))))))</x:f>
        <x:v>3.293681927125507</x:v>
      </x:c>
      <x:c r="AY86" s="22" t="n">
        <x:f>AW86*IF(C86="QB",1.32,IF(C86="RB",1.45,IF(C86="WR",1.55,IF(C86="TE",1.60,IF(C86="K",1.45,1.65)))))</x:f>
        <x:v>8.234204817813767</x:v>
      </x:c>
      <x:c r="AZ86" s="12" t="str">
        <x:v>High</x:v>
      </x:c>
      <x:c r="BA86" s="12" t="n">
        <x:v>5</x:v>
      </x:c>
      <x:c r="BB86" s="12" t="n">
        <x:f>COUNTIFS($C$2:$C$344,C86,$AW$2:$AW$344,"&gt;"&amp;AW86,$G$2:$G$344,"&gt;0")+COUNTIFS($C$2:C86,C86,$AW$2:AW86,AW86,$G$2:G86,"&gt;0")</x:f>
        <x:v>48</x:v>
      </x:c>
      <x:c r="BC86" s="12" t="n">
        <x:v>48</x:v>
      </x:c>
      <x:c r="BD86" s="12" t="str">
        <x:f>IF(BB86&lt;BC86,"↑",IF(BB86&gt;BC86,"↓","→"))</x:f>
        <x:v>→</x:v>
      </x:c>
      <x:c r="BE86" s="23" t="str">
        <x:v>Fantasy Football Brief ROS baseline; official NFL schedule</x:v>
      </x:c>
      <x:c r="BF86" s="23" t="str">
        <x:v>Current role and availability baseline; all adjustment factors shown numerically</x:v>
      </x:c>
      <x:c r="BG86" s="23" t="str">
        <x:v>Material injury, depth-chart, or role change</x:v>
      </x:c>
      <x:c r="BH86" s="24" t="str">
        <x:v>2026-09-23 10:35 CT</x:v>
      </x:c>
    </x:row>
    <x:row r="87">
      <x:c r="A87" s="12" t="str">
        <x:v>Tyler Allgeier</x:v>
      </x:c>
      <x:c r="B87" s="12" t="str">
        <x:v>ARI</x:v>
      </x:c>
      <x:c r="C87" s="12" t="str">
        <x:v>RB</x:v>
      </x:c>
      <x:c r="D87" s="12" t="str">
        <x:v>SF</x:v>
      </x:c>
      <x:c r="E87" s="12" t="str">
        <x:v>Away</x:v>
      </x:c>
      <x:c r="F87" s="12" t="str">
        <x:v>2026-09-27</x:v>
      </x:c>
      <x:c r="G87" s="19" t="n">
        <x:v>1</x:v>
      </x:c>
      <x:c r="H87" s="20" t="str">
        <x:v>ACTIVE</x:v>
      </x:c>
      <x:c r="I87" s="20" t="n">
        <x:v>36</x:v>
      </x:c>
      <x:c r="J87" s="20" t="str">
        <x:v>Opportunities</x:v>
      </x:c>
      <x:c r="K87" s="20" t="n">
        <x:v>7.88259109311741</x:v>
      </x:c>
      <x:c r="L87" s="21" t="n">
        <x:v>0</x:v>
      </x:c>
      <x:c r="M87" s="21" t="n">
        <x:v>0</x:v>
      </x:c>
      <x:c r="N87" s="21" t="n">
        <x:v>0</x:v>
      </x:c>
      <x:c r="O87" s="21" t="n">
        <x:v>0</x:v>
      </x:c>
      <x:c r="P87" s="21" t="n">
        <x:v>0</x:v>
      </x:c>
      <x:c r="Q87" s="21" t="n">
        <x:v>0</x:v>
      </x:c>
      <x:c r="R87" s="21" t="n">
        <x:v>0</x:v>
      </x:c>
      <x:c r="S87" s="21" t="n">
        <x:v>0</x:v>
      </x:c>
      <x:c r="T87" s="21" t="n">
        <x:v>6.210526315789474</x:v>
      </x:c>
      <x:c r="U87" s="21" t="n">
        <x:v>26.04599190283401</x:v>
      </x:c>
      <x:c r="V87" s="21" t="n">
        <x:v>0.17962753036437248</x:v>
      </x:c>
      <x:c r="W87" s="21" t="n">
        <x:v>1.6720647773279356</x:v>
      </x:c>
      <x:c r="X87" s="21" t="n">
        <x:v>1.2898785425101218</x:v>
      </x:c>
      <x:c r="Y87" s="21" t="n">
        <x:v>9.879514170040487</x:v>
      </x:c>
      <x:c r="Z87" s="21" t="n">
        <x:v>0.04490688259109312</x:v>
      </x:c>
      <x:c r="AA87" s="21" t="n">
        <x:v>0</x:v>
      </x:c>
      <x:c r="AB87" s="21" t="n">
        <x:v>0</x:v>
      </x:c>
      <x:c r="AC87" s="21" t="n">
        <x:v>0</x:v>
      </x:c>
      <x:c r="AD87" s="21" t="n">
        <x:v>0</x:v>
      </x:c>
      <x:c r="AE87" s="21" t="n">
        <x:v>0</x:v>
      </x:c>
      <x:c r="AF87" s="21" t="n">
        <x:v>0</x:v>
      </x:c>
      <x:c r="AG87" s="21" t="n">
        <x:v>0</x:v>
      </x:c>
      <x:c r="AH87" s="21" t="n">
        <x:v>0</x:v>
      </x:c>
      <x:c r="AI87" s="21" t="n">
        <x:v>0</x:v>
      </x:c>
      <x:c r="AJ87" s="21" t="n">
        <x:v>0</x:v>
      </x:c>
      <x:c r="AK87" s="21" t="n">
        <x:v>0</x:v>
      </x:c>
      <x:c r="AL87" s="21" t="n">
        <x:v>0</x:v>
      </x:c>
      <x:c r="AM87" s="21" t="n">
        <x:v>1</x:v>
      </x:c>
      <x:c r="AN87" s="21" t="n">
        <x:v>1</x:v>
      </x:c>
      <x:c r="AO87" s="21" t="n">
        <x:v>1</x:v>
      </x:c>
      <x:c r="AP87" s="21" t="n">
        <x:v>1</x:v>
      </x:c>
      <x:c r="AQ87" s="21" t="n">
        <x:v>0.94</x:v>
      </x:c>
      <x:c r="AR87" s="21" t="n">
        <x:v>1</x:v>
      </x:c>
      <x:c r="AS87" s="21" t="n">
        <x:v>1</x:v>
      </x:c>
      <x:c r="AT87" s="21" t="n">
        <x:v>1</x:v>
      </x:c>
      <x:c r="AU87" s="21" t="n">
        <x:v>0</x:v>
      </x:c>
      <x:c r="AV87" s="22" t="n">
        <x:f>IF(C87="QB",N87*0.04+O87*4-P87*2+R87*0.1+S87*6,IF(OR(C87="RB",C87="WR",C87="TE"),U87*0.1+V87*6+R87*0.1+S87*6+X87*0.5+Y87*0.1+Z87*6,IF(C87="K",AC87*3+AD87*4+AE87*5+AF87,IF(C87="DST",AG87+AH87*2+AI87*6+AL87,0))))</x:f>
        <x:v>5.5846963562753045</x:v>
      </x:c>
      <x:c r="AW87" s="22" t="n">
        <x:f>(AV87+AU87)*G87</x:f>
        <x:v>5.5846963562753045</x:v>
      </x:c>
      <x:c r="AX87" s="22" t="n">
        <x:f>MAX(0,AW87*IF(C87="QB",0.68,IF(C87="RB",0.58,IF(C87="WR",0.52,IF(C87="TE",0.50,IF(C87="K",0.55,0.40))))))</x:f>
        <x:v>3.2391238866396765</x:v>
      </x:c>
      <x:c r="AY87" s="22" t="n">
        <x:f>AW87*IF(C87="QB",1.32,IF(C87="RB",1.45,IF(C87="WR",1.55,IF(C87="TE",1.60,IF(C87="K",1.45,1.65)))))</x:f>
        <x:v>8.09780971659919</x:v>
      </x:c>
      <x:c r="AZ87" s="12" t="str">
        <x:v>High</x:v>
      </x:c>
      <x:c r="BA87" s="12" t="n">
        <x:v>6</x:v>
      </x:c>
      <x:c r="BB87" s="12" t="n">
        <x:f>COUNTIFS($C$2:$C$344,C87,$AW$2:$AW$344,"&gt;"&amp;AW87,$G$2:$G$344,"&gt;0")+COUNTIFS($C$2:C87,C87,$AW$2:AW87,AW87,$G$2:G87,"&gt;0")</x:f>
        <x:v>49</x:v>
      </x:c>
      <x:c r="BC87" s="12" t="n">
        <x:v>49</x:v>
      </x:c>
      <x:c r="BD87" s="12" t="str">
        <x:f>IF(BB87&lt;BC87,"↑",IF(BB87&gt;BC87,"↓","→"))</x:f>
        <x:v>→</x:v>
      </x:c>
      <x:c r="BE87" s="23" t="str">
        <x:v>Fantasy Football Brief ROS baseline; official NFL schedule</x:v>
      </x:c>
      <x:c r="BF87" s="23" t="str">
        <x:v>Current role and availability baseline; all adjustment factors shown numerically</x:v>
      </x:c>
      <x:c r="BG87" s="23" t="str">
        <x:v>Material injury, depth-chart, or role change</x:v>
      </x:c>
      <x:c r="BH87" s="24" t="str">
        <x:v>2026-09-23 10:35 CT</x:v>
      </x:c>
    </x:row>
    <x:row r="88">
      <x:c r="A88" s="12" t="str">
        <x:v>Nicholas Singleton</x:v>
      </x:c>
      <x:c r="B88" s="12" t="str">
        <x:v>TEN</x:v>
      </x:c>
      <x:c r="C88" s="12" t="str">
        <x:v>RB</x:v>
      </x:c>
      <x:c r="D88" s="12" t="str">
        <x:v>NYG</x:v>
      </x:c>
      <x:c r="E88" s="12" t="str">
        <x:v>Away</x:v>
      </x:c>
      <x:c r="F88" s="12" t="str">
        <x:v>2026-09-27</x:v>
      </x:c>
      <x:c r="G88" s="19" t="n">
        <x:v>1</x:v>
      </x:c>
      <x:c r="H88" s="20" t="str">
        <x:v>ACTIVE</x:v>
      </x:c>
      <x:c r="I88" s="20" t="n">
        <x:v>36</x:v>
      </x:c>
      <x:c r="J88" s="20" t="str">
        <x:v>Opportunities</x:v>
      </x:c>
      <x:c r="K88" s="20" t="n">
        <x:v>7.348178137651822</x:v>
      </x:c>
      <x:c r="L88" s="21" t="n">
        <x:v>0</x:v>
      </x:c>
      <x:c r="M88" s="21" t="n">
        <x:v>0</x:v>
      </x:c>
      <x:c r="N88" s="21" t="n">
        <x:v>0</x:v>
      </x:c>
      <x:c r="O88" s="21" t="n">
        <x:v>0</x:v>
      </x:c>
      <x:c r="P88" s="21" t="n">
        <x:v>0</x:v>
      </x:c>
      <x:c r="Q88" s="21" t="n">
        <x:v>0</x:v>
      </x:c>
      <x:c r="R88" s="21" t="n">
        <x:v>0</x:v>
      </x:c>
      <x:c r="S88" s="21" t="n">
        <x:v>0</x:v>
      </x:c>
      <x:c r="T88" s="21" t="n">
        <x:v>5.7894736842105265</x:v>
      </x:c>
      <x:c r="U88" s="21" t="n">
        <x:v>25.540663967611337</x:v>
      </x:c>
      <x:c r="V88" s="21" t="n">
        <x:v>0.1761425101214575</x:v>
      </x:c>
      <x:c r="W88" s="21" t="n">
        <x:v>1.5587044534412957</x:v>
      </x:c>
      <x:c r="X88" s="21" t="n">
        <x:v>1.202429149797571</x:v>
      </x:c>
      <x:c r="Y88" s="21" t="n">
        <x:v>9.687838056680162</x:v>
      </x:c>
      <x:c r="Z88" s="21" t="n">
        <x:v>0.04403562753036438</x:v>
      </x:c>
      <x:c r="AA88" s="21" t="n">
        <x:v>0</x:v>
      </x:c>
      <x:c r="AB88" s="21" t="n">
        <x:v>0</x:v>
      </x:c>
      <x:c r="AC88" s="21" t="n">
        <x:v>0</x:v>
      </x:c>
      <x:c r="AD88" s="21" t="n">
        <x:v>0</x:v>
      </x:c>
      <x:c r="AE88" s="21" t="n">
        <x:v>0</x:v>
      </x:c>
      <x:c r="AF88" s="21" t="n">
        <x:v>0</x:v>
      </x:c>
      <x:c r="AG88" s="21" t="n">
        <x:v>0</x:v>
      </x:c>
      <x:c r="AH88" s="21" t="n">
        <x:v>0</x:v>
      </x:c>
      <x:c r="AI88" s="21" t="n">
        <x:v>0</x:v>
      </x:c>
      <x:c r="AJ88" s="21" t="n">
        <x:v>0</x:v>
      </x:c>
      <x:c r="AK88" s="21" t="n">
        <x:v>0</x:v>
      </x:c>
      <x:c r="AL88" s="21" t="n">
        <x:v>0</x:v>
      </x:c>
      <x:c r="AM88" s="21" t="n">
        <x:v>1</x:v>
      </x:c>
      <x:c r="AN88" s="21" t="n">
        <x:v>1</x:v>
      </x:c>
      <x:c r="AO88" s="21" t="n">
        <x:v>1</x:v>
      </x:c>
      <x:c r="AP88" s="21" t="n">
        <x:v>0.96</x:v>
      </x:c>
      <x:c r="AQ88" s="21" t="n">
        <x:v>1.03</x:v>
      </x:c>
      <x:c r="AR88" s="21" t="n">
        <x:v>1</x:v>
      </x:c>
      <x:c r="AS88" s="21" t="n">
        <x:v>1</x:v>
      </x:c>
      <x:c r="AT88" s="21" t="n">
        <x:v>1</x:v>
      </x:c>
      <x:c r="AU88" s="21" t="n">
        <x:v>0</x:v>
      </x:c>
      <x:c r="AV88" s="22" t="n">
        <x:f>IF(C88="QB",N88*0.04+O88*4-P88*2+R88*0.1+S88*6,IF(OR(C88="RB",C88="WR",C88="TE"),U88*0.1+V88*6+R88*0.1+S88*6+X88*0.5+Y88*0.1+Z88*6,IF(C88="K",AC88*3+AD88*4+AE88*5+AF88,IF(C88="DST",AG88+AH88*2+AI88*6+AL88,0))))</x:f>
        <x:v>5.445133603238866</x:v>
      </x:c>
      <x:c r="AW88" s="22" t="n">
        <x:f>(AV88+AU88)*G88</x:f>
        <x:v>5.445133603238866</x:v>
      </x:c>
      <x:c r="AX88" s="22" t="n">
        <x:f>MAX(0,AW88*IF(C88="QB",0.68,IF(C88="RB",0.58,IF(C88="WR",0.52,IF(C88="TE",0.50,IF(C88="K",0.55,0.40))))))</x:f>
        <x:v>3.158177489878542</x:v>
      </x:c>
      <x:c r="AY88" s="22" t="n">
        <x:f>AW88*IF(C88="QB",1.32,IF(C88="RB",1.45,IF(C88="WR",1.55,IF(C88="TE",1.60,IF(C88="K",1.45,1.65)))))</x:f>
        <x:v>7.895443724696356</x:v>
      </x:c>
      <x:c r="AZ88" s="12" t="str">
        <x:v>High</x:v>
      </x:c>
      <x:c r="BA88" s="12" t="n">
        <x:v>6</x:v>
      </x:c>
      <x:c r="BB88" s="12" t="n">
        <x:f>COUNTIFS($C$2:$C$344,C88,$AW$2:$AW$344,"&gt;"&amp;AW88,$G$2:$G$344,"&gt;0")+COUNTIFS($C$2:C88,C88,$AW$2:AW88,AW88,$G$2:G88,"&gt;0")</x:f>
        <x:v>50</x:v>
      </x:c>
      <x:c r="BC88" s="12" t="n">
        <x:v>50</x:v>
      </x:c>
      <x:c r="BD88" s="12" t="str">
        <x:f>IF(BB88&lt;BC88,"↑",IF(BB88&gt;BC88,"↓","→"))</x:f>
        <x:v>→</x:v>
      </x:c>
      <x:c r="BE88" s="23" t="str">
        <x:v>Fantasy Football Brief ROS baseline; official NFL schedule</x:v>
      </x:c>
      <x:c r="BF88" s="23" t="str">
        <x:v>Current role and availability baseline; all adjustment factors shown numerically</x:v>
      </x:c>
      <x:c r="BG88" s="23" t="str">
        <x:v>Material injury, depth-chart, or role change</x:v>
      </x:c>
      <x:c r="BH88" s="24" t="str">
        <x:v>2026-09-23 10:35 CT</x:v>
      </x:c>
    </x:row>
    <x:row r="89">
      <x:c r="A89" s="12" t="str">
        <x:v>Ray Davis</x:v>
      </x:c>
      <x:c r="B89" s="12" t="str">
        <x:v>BUF</x:v>
      </x:c>
      <x:c r="C89" s="12" t="str">
        <x:v>RB</x:v>
      </x:c>
      <x:c r="D89" s="12" t="str">
        <x:v>LAC</x:v>
      </x:c>
      <x:c r="E89" s="12" t="str">
        <x:v>Home</x:v>
      </x:c>
      <x:c r="F89" s="12" t="str">
        <x:v>2026-09-27</x:v>
      </x:c>
      <x:c r="G89" s="19" t="n">
        <x:v>1</x:v>
      </x:c>
      <x:c r="H89" s="20" t="str">
        <x:v>ACTIVE</x:v>
      </x:c>
      <x:c r="I89" s="20" t="n">
        <x:v>36</x:v>
      </x:c>
      <x:c r="J89" s="20" t="str">
        <x:v>Opportunities</x:v>
      </x:c>
      <x:c r="K89" s="20" t="n">
        <x:v>6.813765182186234</x:v>
      </x:c>
      <x:c r="L89" s="21" t="n">
        <x:v>0</x:v>
      </x:c>
      <x:c r="M89" s="21" t="n">
        <x:v>0</x:v>
      </x:c>
      <x:c r="N89" s="21" t="n">
        <x:v>0</x:v>
      </x:c>
      <x:c r="O89" s="21" t="n">
        <x:v>0</x:v>
      </x:c>
      <x:c r="P89" s="21" t="n">
        <x:v>0</x:v>
      </x:c>
      <x:c r="Q89" s="21" t="n">
        <x:v>0</x:v>
      </x:c>
      <x:c r="R89" s="21" t="n">
        <x:v>0</x:v>
      </x:c>
      <x:c r="S89" s="21" t="n">
        <x:v>0</x:v>
      </x:c>
      <x:c r="T89" s="21" t="n">
        <x:v>5.368421052631579</x:v>
      </x:c>
      <x:c r="U89" s="21" t="n">
        <x:v>24.909473684210525</x:v>
      </x:c>
      <x:c r="V89" s="21" t="n">
        <x:v>0.17178947368421052</x:v>
      </x:c>
      <x:c r="W89" s="21" t="n">
        <x:v>1.4453441295546556</x:v>
      </x:c>
      <x:c r="X89" s="21" t="n">
        <x:v>1.1149797570850202</x:v>
      </x:c>
      <x:c r="Y89" s="21" t="n">
        <x:v>9.448421052631579</x:v>
      </x:c>
      <x:c r="Z89" s="21" t="n">
        <x:v>0.04294736842105263</x:v>
      </x:c>
      <x:c r="AA89" s="21" t="n">
        <x:v>0</x:v>
      </x:c>
      <x:c r="AB89" s="21" t="n">
        <x:v>0</x:v>
      </x:c>
      <x:c r="AC89" s="21" t="n">
        <x:v>0</x:v>
      </x:c>
      <x:c r="AD89" s="21" t="n">
        <x:v>0</x:v>
      </x:c>
      <x:c r="AE89" s="21" t="n">
        <x:v>0</x:v>
      </x:c>
      <x:c r="AF89" s="21" t="n">
        <x:v>0</x:v>
      </x:c>
      <x:c r="AG89" s="21" t="n">
        <x:v>0</x:v>
      </x:c>
      <x:c r="AH89" s="21" t="n">
        <x:v>0</x:v>
      </x:c>
      <x:c r="AI89" s="21" t="n">
        <x:v>0</x:v>
      </x:c>
      <x:c r="AJ89" s="21" t="n">
        <x:v>0</x:v>
      </x:c>
      <x:c r="AK89" s="21" t="n">
        <x:v>0</x:v>
      </x:c>
      <x:c r="AL89" s="21" t="n">
        <x:v>0</x:v>
      </x:c>
      <x:c r="AM89" s="21" t="n">
        <x:v>1</x:v>
      </x:c>
      <x:c r="AN89" s="21" t="n">
        <x:v>1</x:v>
      </x:c>
      <x:c r="AO89" s="21" t="n">
        <x:v>1</x:v>
      </x:c>
      <x:c r="AP89" s="21" t="n">
        <x:v>1.04</x:v>
      </x:c>
      <x:c r="AQ89" s="21" t="n">
        <x:v>1</x:v>
      </x:c>
      <x:c r="AR89" s="21" t="n">
        <x:v>1</x:v>
      </x:c>
      <x:c r="AS89" s="21" t="n">
        <x:v>1</x:v>
      </x:c>
      <x:c r="AT89" s="21" t="n">
        <x:v>1</x:v>
      </x:c>
      <x:c r="AU89" s="21" t="n">
        <x:v>0</x:v>
      </x:c>
      <x:c r="AV89" s="22" t="n">
        <x:f>IF(C89="QB",N89*0.04+O89*4-P89*2+R89*0.1+S89*6,IF(OR(C89="RB",C89="WR",C89="TE"),U89*0.1+V89*6+R89*0.1+S89*6+X89*0.5+Y89*0.1+Z89*6,IF(C89="K",AC89*3+AD89*4+AE89*5+AF89,IF(C89="DST",AG89+AH89*2+AI89*6+AL89,0))))</x:f>
        <x:v>5.2817004048583</x:v>
      </x:c>
      <x:c r="AW89" s="22" t="n">
        <x:f>(AV89+AU89)*G89</x:f>
        <x:v>5.2817004048583</x:v>
      </x:c>
      <x:c r="AX89" s="22" t="n">
        <x:f>MAX(0,AW89*IF(C89="QB",0.68,IF(C89="RB",0.58,IF(C89="WR",0.52,IF(C89="TE",0.50,IF(C89="K",0.55,0.40))))))</x:f>
        <x:v>3.0633862348178136</x:v>
      </x:c>
      <x:c r="AY89" s="22" t="n">
        <x:f>AW89*IF(C89="QB",1.32,IF(C89="RB",1.45,IF(C89="WR",1.55,IF(C89="TE",1.60,IF(C89="K",1.45,1.65)))))</x:f>
        <x:v>7.658465587044534</x:v>
      </x:c>
      <x:c r="AZ89" s="12" t="str">
        <x:v>High</x:v>
      </x:c>
      <x:c r="BA89" s="12" t="n">
        <x:v>6</x:v>
      </x:c>
      <x:c r="BB89" s="12" t="n">
        <x:f>COUNTIFS($C$2:$C$344,C89,$AW$2:$AW$344,"&gt;"&amp;AW89,$G$2:$G$344,"&gt;0")+COUNTIFS($C$2:C89,C89,$AW$2:AW89,AW89,$G$2:G89,"&gt;0")</x:f>
        <x:v>51</x:v>
      </x:c>
      <x:c r="BC89" s="12" t="n">
        <x:v>51</x:v>
      </x:c>
      <x:c r="BD89" s="12" t="str">
        <x:f>IF(BB89&lt;BC89,"↑",IF(BB89&gt;BC89,"↓","→"))</x:f>
        <x:v>→</x:v>
      </x:c>
      <x:c r="BE89" s="23" t="str">
        <x:v>Fantasy Football Brief ROS baseline; official NFL schedule</x:v>
      </x:c>
      <x:c r="BF89" s="23" t="str">
        <x:v>Current role and availability baseline; all adjustment factors shown numerically</x:v>
      </x:c>
      <x:c r="BG89" s="23" t="str">
        <x:v>Material injury, depth-chart, or role change</x:v>
      </x:c>
      <x:c r="BH89" s="24" t="str">
        <x:v>2026-09-23 10:35 CT</x:v>
      </x:c>
    </x:row>
    <x:row r="90">
      <x:c r="A90" s="12" t="str">
        <x:v>Brian Robinson Jr.</x:v>
      </x:c>
      <x:c r="B90" s="12" t="str">
        <x:v>ATL</x:v>
      </x:c>
      <x:c r="C90" s="12" t="str">
        <x:v>RB</x:v>
      </x:c>
      <x:c r="D90" s="12" t="str">
        <x:v>GB</x:v>
      </x:c>
      <x:c r="E90" s="12" t="str">
        <x:v>Away</x:v>
      </x:c>
      <x:c r="F90" s="12" t="str">
        <x:v>2026-09-24</x:v>
      </x:c>
      <x:c r="G90" s="19" t="n">
        <x:v>1</x:v>
      </x:c>
      <x:c r="H90" s="20" t="str">
        <x:v>ACTIVE</x:v>
      </x:c>
      <x:c r="I90" s="20" t="n">
        <x:v>36</x:v>
      </x:c>
      <x:c r="J90" s="20" t="str">
        <x:v>Opportunities</x:v>
      </x:c>
      <x:c r="K90" s="20" t="n">
        <x:v>6.947368421052632</x:v>
      </x:c>
      <x:c r="L90" s="21" t="n">
        <x:v>0</x:v>
      </x:c>
      <x:c r="M90" s="21" t="n">
        <x:v>0</x:v>
      </x:c>
      <x:c r="N90" s="21" t="n">
        <x:v>0</x:v>
      </x:c>
      <x:c r="O90" s="21" t="n">
        <x:v>0</x:v>
      </x:c>
      <x:c r="P90" s="21" t="n">
        <x:v>0</x:v>
      </x:c>
      <x:c r="Q90" s="21" t="n">
        <x:v>0</x:v>
      </x:c>
      <x:c r="R90" s="21" t="n">
        <x:v>0</x:v>
      </x:c>
      <x:c r="S90" s="21" t="n">
        <x:v>0</x:v>
      </x:c>
      <x:c r="T90" s="21" t="n">
        <x:v>5.473684210526316</x:v>
      </x:c>
      <x:c r="U90" s="21" t="n">
        <x:v>22.97776842105263</x:v>
      </x:c>
      <x:c r="V90" s="21" t="n">
        <x:v>0.15846736842105263</x:v>
      </x:c>
      <x:c r="W90" s="21" t="n">
        <x:v>1.473684210526316</x:v>
      </x:c>
      <x:c r="X90" s="21" t="n">
        <x:v>1.136842105263158</x:v>
      </x:c>
      <x:c r="Y90" s="21" t="n">
        <x:v>8.715705263157895</x:v>
      </x:c>
      <x:c r="Z90" s="21" t="n">
        <x:v>0.03961684210526316</x:v>
      </x:c>
      <x:c r="AA90" s="21" t="n">
        <x:v>0</x:v>
      </x:c>
      <x:c r="AB90" s="21" t="n">
        <x:v>0</x:v>
      </x:c>
      <x:c r="AC90" s="21" t="n">
        <x:v>0</x:v>
      </x:c>
      <x:c r="AD90" s="21" t="n">
        <x:v>0</x:v>
      </x:c>
      <x:c r="AE90" s="21" t="n">
        <x:v>0</x:v>
      </x:c>
      <x:c r="AF90" s="21" t="n">
        <x:v>0</x:v>
      </x:c>
      <x:c r="AG90" s="21" t="n">
        <x:v>0</x:v>
      </x:c>
      <x:c r="AH90" s="21" t="n">
        <x:v>0</x:v>
      </x:c>
      <x:c r="AI90" s="21" t="n">
        <x:v>0</x:v>
      </x:c>
      <x:c r="AJ90" s="21" t="n">
        <x:v>0</x:v>
      </x:c>
      <x:c r="AK90" s="21" t="n">
        <x:v>0</x:v>
      </x:c>
      <x:c r="AL90" s="21" t="n">
        <x:v>0</x:v>
      </x:c>
      <x:c r="AM90" s="21" t="n">
        <x:v>1</x:v>
      </x:c>
      <x:c r="AN90" s="21" t="n">
        <x:v>1</x:v>
      </x:c>
      <x:c r="AO90" s="21" t="n">
        <x:v>1</x:v>
      </x:c>
      <x:c r="AP90" s="21" t="n">
        <x:v>0.97</x:v>
      </x:c>
      <x:c r="AQ90" s="21" t="n">
        <x:v>0.97</x:v>
      </x:c>
      <x:c r="AR90" s="21" t="n">
        <x:v>1</x:v>
      </x:c>
      <x:c r="AS90" s="21" t="n">
        <x:v>1</x:v>
      </x:c>
      <x:c r="AT90" s="21" t="n">
        <x:v>1</x:v>
      </x:c>
      <x:c r="AU90" s="21" t="n">
        <x:v>0</x:v>
      </x:c>
      <x:c r="AV90" s="22" t="n">
        <x:f>IF(C90="QB",N90*0.04+O90*4-P90*2+R90*0.1+S90*6,IF(OR(C90="RB",C90="WR",C90="TE"),U90*0.1+V90*6+R90*0.1+S90*6+X90*0.5+Y90*0.1+Z90*6,IF(C90="K",AC90*3+AD90*4+AE90*5+AF90,IF(C90="DST",AG90+AH90*2+AI90*6+AL90,0))))</x:f>
        <x:v>4.926273684210526</x:v>
      </x:c>
      <x:c r="AW90" s="22" t="n">
        <x:f>(AV90+AU90)*G90</x:f>
        <x:v>4.926273684210526</x:v>
      </x:c>
      <x:c r="AX90" s="22" t="n">
        <x:f>MAX(0,AW90*IF(C90="QB",0.68,IF(C90="RB",0.58,IF(C90="WR",0.52,IF(C90="TE",0.50,IF(C90="K",0.55,0.40))))))</x:f>
        <x:v>2.857238736842105</x:v>
      </x:c>
      <x:c r="AY90" s="22" t="n">
        <x:f>AW90*IF(C90="QB",1.32,IF(C90="RB",1.45,IF(C90="WR",1.55,IF(C90="TE",1.60,IF(C90="K",1.45,1.65)))))</x:f>
        <x:v>7.143096842105262</x:v>
      </x:c>
      <x:c r="AZ90" s="12" t="str">
        <x:v>High</x:v>
      </x:c>
      <x:c r="BA90" s="12" t="n">
        <x:v>6</x:v>
      </x:c>
      <x:c r="BB90" s="12" t="n">
        <x:f>COUNTIFS($C$2:$C$344,C90,$AW$2:$AW$344,"&gt;"&amp;AW90,$G$2:$G$344,"&gt;0")+COUNTIFS($C$2:C90,C90,$AW$2:AW90,AW90,$G$2:G90,"&gt;0")</x:f>
        <x:v>53</x:v>
      </x:c>
      <x:c r="BC90" s="12" t="n">
        <x:v>52</x:v>
      </x:c>
      <x:c r="BD90" s="12" t="str">
        <x:f>IF(BB90&lt;BC90,"↑",IF(BB90&gt;BC90,"↓","→"))</x:f>
        <x:v>↓</x:v>
      </x:c>
      <x:c r="BE90" s="23" t="str">
        <x:v>Fantasy Football Brief ROS baseline; official NFL schedule</x:v>
      </x:c>
      <x:c r="BF90" s="23" t="str">
        <x:v>Current role and availability baseline; all adjustment factors shown numerically</x:v>
      </x:c>
      <x:c r="BG90" s="23" t="str">
        <x:v>Material injury, depth-chart, or role change</x:v>
      </x:c>
      <x:c r="BH90" s="24" t="str">
        <x:v>2026-09-23 10:35 CT</x:v>
      </x:c>
    </x:row>
    <x:row r="91">
      <x:c r="A91" s="12" t="str">
        <x:v>Kaytron Allen</x:v>
      </x:c>
      <x:c r="B91" s="12" t="str">
        <x:v>WAS</x:v>
      </x:c>
      <x:c r="C91" s="12" t="str">
        <x:v>RB</x:v>
      </x:c>
      <x:c r="D91" s="12" t="str">
        <x:v>SEA</x:v>
      </x:c>
      <x:c r="E91" s="12" t="str">
        <x:v>Home</x:v>
      </x:c>
      <x:c r="F91" s="12" t="str">
        <x:v>2026-09-27</x:v>
      </x:c>
      <x:c r="G91" s="19" t="n">
        <x:v>1</x:v>
      </x:c>
      <x:c r="H91" s="20" t="str">
        <x:v>ACTIVE</x:v>
      </x:c>
      <x:c r="I91" s="20" t="n">
        <x:v>36</x:v>
      </x:c>
      <x:c r="J91" s="20" t="str">
        <x:v>Opportunities</x:v>
      </x:c>
      <x:c r="K91" s="20" t="n">
        <x:v>6.813765182186234</x:v>
      </x:c>
      <x:c r="L91" s="21" t="n">
        <x:v>0</x:v>
      </x:c>
      <x:c r="M91" s="21" t="n">
        <x:v>0</x:v>
      </x:c>
      <x:c r="N91" s="21" t="n">
        <x:v>0</x:v>
      </x:c>
      <x:c r="O91" s="21" t="n">
        <x:v>0</x:v>
      </x:c>
      <x:c r="P91" s="21" t="n">
        <x:v>0</x:v>
      </x:c>
      <x:c r="Q91" s="21" t="n">
        <x:v>0</x:v>
      </x:c>
      <x:c r="R91" s="21" t="n">
        <x:v>0</x:v>
      </x:c>
      <x:c r="S91" s="21" t="n">
        <x:v>0</x:v>
      </x:c>
      <x:c r="T91" s="21" t="n">
        <x:v>5.368421052631579</x:v>
      </x:c>
      <x:c r="U91" s="21" t="n">
        <x:v>23.00054574898785</x:v>
      </x:c>
      <x:c r="V91" s="21" t="n">
        <x:v>0.15862445344129553</x:v>
      </x:c>
      <x:c r="W91" s="21" t="n">
        <x:v>1.4453441295546556</x:v>
      </x:c>
      <x:c r="X91" s="21" t="n">
        <x:v>1.1149797570850202</x:v>
      </x:c>
      <x:c r="Y91" s="21" t="n">
        <x:v>8.724344939271253</x:v>
      </x:c>
      <x:c r="Z91" s="21" t="n">
        <x:v>0.03965611336032388</x:v>
      </x:c>
      <x:c r="AA91" s="21" t="n">
        <x:v>0</x:v>
      </x:c>
      <x:c r="AB91" s="21" t="n">
        <x:v>0</x:v>
      </x:c>
      <x:c r="AC91" s="21" t="n">
        <x:v>0</x:v>
      </x:c>
      <x:c r="AD91" s="21" t="n">
        <x:v>0</x:v>
      </x:c>
      <x:c r="AE91" s="21" t="n">
        <x:v>0</x:v>
      </x:c>
      <x:c r="AF91" s="21" t="n">
        <x:v>0</x:v>
      </x:c>
      <x:c r="AG91" s="21" t="n">
        <x:v>0</x:v>
      </x:c>
      <x:c r="AH91" s="21" t="n">
        <x:v>0</x:v>
      </x:c>
      <x:c r="AI91" s="21" t="n">
        <x:v>0</x:v>
      </x:c>
      <x:c r="AJ91" s="21" t="n">
        <x:v>0</x:v>
      </x:c>
      <x:c r="AK91" s="21" t="n">
        <x:v>0</x:v>
      </x:c>
      <x:c r="AL91" s="21" t="n">
        <x:v>0</x:v>
      </x:c>
      <x:c r="AM91" s="21" t="n">
        <x:v>1</x:v>
      </x:c>
      <x:c r="AN91" s="21" t="n">
        <x:v>1</x:v>
      </x:c>
      <x:c r="AO91" s="21" t="n">
        <x:v>1</x:v>
      </x:c>
      <x:c r="AP91" s="21" t="n">
        <x:v>0.97</x:v>
      </x:c>
      <x:c r="AQ91" s="21" t="n">
        <x:v>0.99</x:v>
      </x:c>
      <x:c r="AR91" s="21" t="n">
        <x:v>1</x:v>
      </x:c>
      <x:c r="AS91" s="21" t="n">
        <x:v>1</x:v>
      </x:c>
      <x:c r="AT91" s="21" t="n">
        <x:v>1</x:v>
      </x:c>
      <x:c r="AU91" s="21" t="n">
        <x:v>0</x:v>
      </x:c>
      <x:c r="AV91" s="22" t="n">
        <x:f>IF(C91="QB",N91*0.04+O91*4-P91*2+R91*0.1+S91*6,IF(OR(C91="RB",C91="WR",C91="TE"),U91*0.1+V91*6+R91*0.1+S91*6+X91*0.5+Y91*0.1+Z91*6,IF(C91="K",AC91*3+AD91*4+AE91*5+AF91,IF(C91="DST",AG91+AH91*2+AI91*6+AL91,0))))</x:f>
        <x:v>4.919662348178137</x:v>
      </x:c>
      <x:c r="AW91" s="22" t="n">
        <x:f>(AV91+AU91)*G91</x:f>
        <x:v>4.919662348178137</x:v>
      </x:c>
      <x:c r="AX91" s="22" t="n">
        <x:f>MAX(0,AW91*IF(C91="QB",0.68,IF(C91="RB",0.58,IF(C91="WR",0.52,IF(C91="TE",0.50,IF(C91="K",0.55,0.40))))))</x:f>
        <x:v>2.853404161943319</x:v>
      </x:c>
      <x:c r="AY91" s="22" t="n">
        <x:f>AW91*IF(C91="QB",1.32,IF(C91="RB",1.45,IF(C91="WR",1.55,IF(C91="TE",1.60,IF(C91="K",1.45,1.65)))))</x:f>
        <x:v>7.133510404858298</x:v>
      </x:c>
      <x:c r="AZ91" s="12" t="str">
        <x:v>High</x:v>
      </x:c>
      <x:c r="BA91" s="12" t="n">
        <x:v>6</x:v>
      </x:c>
      <x:c r="BB91" s="12" t="n">
        <x:f>COUNTIFS($C$2:$C$344,C91,$AW$2:$AW$344,"&gt;"&amp;AW91,$G$2:$G$344,"&gt;0")+COUNTIFS($C$2:C91,C91,$AW$2:AW91,AW91,$G$2:G91,"&gt;0")</x:f>
        <x:v>54</x:v>
      </x:c>
      <x:c r="BC91" s="12" t="n">
        <x:v>53</x:v>
      </x:c>
      <x:c r="BD91" s="12" t="str">
        <x:f>IF(BB91&lt;BC91,"↑",IF(BB91&gt;BC91,"↓","→"))</x:f>
        <x:v>↓</x:v>
      </x:c>
      <x:c r="BE91" s="23" t="str">
        <x:v>Fantasy Football Brief ROS baseline; official NFL schedule</x:v>
      </x:c>
      <x:c r="BF91" s="23" t="str">
        <x:v>Current role and availability baseline; all adjustment factors shown numerically</x:v>
      </x:c>
      <x:c r="BG91" s="23" t="str">
        <x:v>Material injury, depth-chart, or role change</x:v>
      </x:c>
      <x:c r="BH91" s="24" t="str">
        <x:v>2026-09-23 10:35 CT</x:v>
      </x:c>
    </x:row>
    <x:row r="92">
      <x:c r="A92" s="12" t="str">
        <x:v>Alvin Kamara</x:v>
      </x:c>
      <x:c r="B92" s="12" t="str">
        <x:v>NO</x:v>
      </x:c>
      <x:c r="C92" s="12" t="str">
        <x:v>RB</x:v>
      </x:c>
      <x:c r="D92" s="12" t="str">
        <x:v>LV</x:v>
      </x:c>
      <x:c r="E92" s="12" t="str">
        <x:v>Home</x:v>
      </x:c>
      <x:c r="F92" s="12" t="str">
        <x:v>2026-09-27</x:v>
      </x:c>
      <x:c r="G92" s="19" t="n">
        <x:v>1</x:v>
      </x:c>
      <x:c r="H92" s="20" t="str">
        <x:v>ACTIVE</x:v>
      </x:c>
      <x:c r="I92" s="20" t="n">
        <x:v>36</x:v>
      </x:c>
      <x:c r="J92" s="20" t="str">
        <x:v>Opportunities</x:v>
      </x:c>
      <x:c r="K92" s="20" t="n">
        <x:v>6.5465587044534415</x:v>
      </x:c>
      <x:c r="L92" s="21" t="n">
        <x:v>0</x:v>
      </x:c>
      <x:c r="M92" s="21" t="n">
        <x:v>0</x:v>
      </x:c>
      <x:c r="N92" s="21" t="n">
        <x:v>0</x:v>
      </x:c>
      <x:c r="O92" s="21" t="n">
        <x:v>0</x:v>
      </x:c>
      <x:c r="P92" s="21" t="n">
        <x:v>0</x:v>
      </x:c>
      <x:c r="Q92" s="21" t="n">
        <x:v>0</x:v>
      </x:c>
      <x:c r="R92" s="21" t="n">
        <x:v>0</x:v>
      </x:c>
      <x:c r="S92" s="21" t="n">
        <x:v>0</x:v>
      </x:c>
      <x:c r="T92" s="21" t="n">
        <x:v>5.157894736842105</x:v>
      </x:c>
      <x:c r="U92" s="21" t="n">
        <x:v>22.782024291497976</x:v>
      </x:c>
      <x:c r="V92" s="21" t="n">
        <x:v>0.1571174089068826</x:v>
      </x:c>
      <x:c r="W92" s="21" t="n">
        <x:v>1.3886639676113361</x:v>
      </x:c>
      <x:c r="X92" s="21" t="n">
        <x:v>1.071255060728745</x:v>
      </x:c>
      <x:c r="Y92" s="21" t="n">
        <x:v>8.641457489878542</x:v>
      </x:c>
      <x:c r="Z92" s="21" t="n">
        <x:v>0.03927935222672065</x:v>
      </x:c>
      <x:c r="AA92" s="21" t="n">
        <x:v>0</x:v>
      </x:c>
      <x:c r="AB92" s="21" t="n">
        <x:v>0</x:v>
      </x:c>
      <x:c r="AC92" s="21" t="n">
        <x:v>0</x:v>
      </x:c>
      <x:c r="AD92" s="21" t="n">
        <x:v>0</x:v>
      </x:c>
      <x:c r="AE92" s="21" t="n">
        <x:v>0</x:v>
      </x:c>
      <x:c r="AF92" s="21" t="n">
        <x:v>0</x:v>
      </x:c>
      <x:c r="AG92" s="21" t="n">
        <x:v>0</x:v>
      </x:c>
      <x:c r="AH92" s="21" t="n">
        <x:v>0</x:v>
      </x:c>
      <x:c r="AI92" s="21" t="n">
        <x:v>0</x:v>
      </x:c>
      <x:c r="AJ92" s="21" t="n">
        <x:v>0</x:v>
      </x:c>
      <x:c r="AK92" s="21" t="n">
        <x:v>0</x:v>
      </x:c>
      <x:c r="AL92" s="21" t="n">
        <x:v>0</x:v>
      </x:c>
      <x:c r="AM92" s="21" t="n">
        <x:v>1</x:v>
      </x:c>
      <x:c r="AN92" s="21" t="n">
        <x:v>1</x:v>
      </x:c>
      <x:c r="AO92" s="21" t="n">
        <x:v>1</x:v>
      </x:c>
      <x:c r="AP92" s="21" t="n">
        <x:v>0.99</x:v>
      </x:c>
      <x:c r="AQ92" s="21" t="n">
        <x:v>1</x:v>
      </x:c>
      <x:c r="AR92" s="21" t="n">
        <x:v>1</x:v>
      </x:c>
      <x:c r="AS92" s="21" t="n">
        <x:v>1</x:v>
      </x:c>
      <x:c r="AT92" s="21" t="n">
        <x:v>1</x:v>
      </x:c>
      <x:c r="AU92" s="21" t="n">
        <x:v>0</x:v>
      </x:c>
      <x:c r="AV92" s="22" t="n">
        <x:f>IF(C92="QB",N92*0.04+O92*4-P92*2+R92*0.1+S92*6,IF(OR(C92="RB",C92="WR",C92="TE"),U92*0.1+V92*6+R92*0.1+S92*6+X92*0.5+Y92*0.1+Z92*6,IF(C92="K",AC92*3+AD92*4+AE92*5+AF92,IF(C92="DST",AG92+AH92*2+AI92*6+AL92,0))))</x:f>
        <x:v>4.856356275303644</x:v>
      </x:c>
      <x:c r="AW92" s="22" t="n">
        <x:f>(AV92+AU92)*G92</x:f>
        <x:v>4.856356275303644</x:v>
      </x:c>
      <x:c r="AX92" s="22" t="n">
        <x:f>MAX(0,AW92*IF(C92="QB",0.68,IF(C92="RB",0.58,IF(C92="WR",0.52,IF(C92="TE",0.50,IF(C92="K",0.55,0.40))))))</x:f>
        <x:v>2.816686639676113</x:v>
      </x:c>
      <x:c r="AY92" s="22" t="n">
        <x:f>AW92*IF(C92="QB",1.32,IF(C92="RB",1.45,IF(C92="WR",1.55,IF(C92="TE",1.60,IF(C92="K",1.45,1.65)))))</x:f>
        <x:v>7.041716599190283</x:v>
      </x:c>
      <x:c r="AZ92" s="12" t="str">
        <x:v>High</x:v>
      </x:c>
      <x:c r="BA92" s="12" t="n">
        <x:v>6</x:v>
      </x:c>
      <x:c r="BB92" s="12" t="n">
        <x:f>COUNTIFS($C$2:$C$344,C92,$AW$2:$AW$344,"&gt;"&amp;AW92,$G$2:$G$344,"&gt;0")+COUNTIFS($C$2:C92,C92,$AW$2:AW92,AW92,$G$2:G92,"&gt;0")</x:f>
        <x:v>55</x:v>
      </x:c>
      <x:c r="BC92" s="12" t="n">
        <x:v>54</x:v>
      </x:c>
      <x:c r="BD92" s="12" t="str">
        <x:f>IF(BB92&lt;BC92,"↑",IF(BB92&gt;BC92,"↓","→"))</x:f>
        <x:v>↓</x:v>
      </x:c>
      <x:c r="BE92" s="23" t="str">
        <x:v>Fantasy Football Brief ROS baseline; official NFL schedule</x:v>
      </x:c>
      <x:c r="BF92" s="23" t="str">
        <x:v>Current role and availability baseline; all adjustment factors shown numerically</x:v>
      </x:c>
      <x:c r="BG92" s="23" t="str">
        <x:v>Material injury, depth-chart, or role change</x:v>
      </x:c>
      <x:c r="BH92" s="24" t="str">
        <x:v>2026-09-23 10:35 CT</x:v>
      </x:c>
    </x:row>
    <x:row r="93">
      <x:c r="A93" s="12" t="str">
        <x:v>George Holani</x:v>
      </x:c>
      <x:c r="B93" s="12" t="str">
        <x:v>SEA</x:v>
      </x:c>
      <x:c r="C93" s="12" t="str">
        <x:v>RB</x:v>
      </x:c>
      <x:c r="D93" s="12" t="str">
        <x:v>WAS</x:v>
      </x:c>
      <x:c r="E93" s="12" t="str">
        <x:v>Away</x:v>
      </x:c>
      <x:c r="F93" s="12" t="str">
        <x:v>2026-09-27</x:v>
      </x:c>
      <x:c r="G93" s="19" t="n">
        <x:v>1</x:v>
      </x:c>
      <x:c r="H93" s="20" t="str">
        <x:v>ACTIVE</x:v>
      </x:c>
      <x:c r="I93" s="20" t="n">
        <x:v>36</x:v>
      </x:c>
      <x:c r="J93" s="20" t="str">
        <x:v>Opportunities</x:v>
      </x:c>
      <x:c r="K93" s="20" t="n">
        <x:v>6.412955465587045</x:v>
      </x:c>
      <x:c r="L93" s="21" t="n">
        <x:v>0</x:v>
      </x:c>
      <x:c r="M93" s="21" t="n">
        <x:v>0</x:v>
      </x:c>
      <x:c r="N93" s="21" t="n">
        <x:v>0</x:v>
      </x:c>
      <x:c r="O93" s="21" t="n">
        <x:v>0</x:v>
      </x:c>
      <x:c r="P93" s="21" t="n">
        <x:v>0</x:v>
      </x:c>
      <x:c r="Q93" s="21" t="n">
        <x:v>0</x:v>
      </x:c>
      <x:c r="R93" s="21" t="n">
        <x:v>0</x:v>
      </x:c>
      <x:c r="S93" s="21" t="n">
        <x:v>0</x:v>
      </x:c>
      <x:c r="T93" s="21" t="n">
        <x:v>5.052631578947368</x:v>
      </x:c>
      <x:c r="U93" s="21" t="n">
        <x:v>22.54251012145749</x:v>
      </x:c>
      <x:c r="V93" s="21" t="n">
        <x:v>0.15546558704453442</x:v>
      </x:c>
      <x:c r="W93" s="21" t="n">
        <x:v>1.360323886639676</x:v>
      </x:c>
      <x:c r="X93" s="21" t="n">
        <x:v>1.0493927125506073</x:v>
      </x:c>
      <x:c r="Y93" s="21" t="n">
        <x:v>8.550607287449393</x:v>
      </x:c>
      <x:c r="Z93" s="21" t="n">
        <x:v>0.038866396761133605</x:v>
      </x:c>
      <x:c r="AA93" s="21" t="n">
        <x:v>0</x:v>
      </x:c>
      <x:c r="AB93" s="21" t="n">
        <x:v>0</x:v>
      </x:c>
      <x:c r="AC93" s="21" t="n">
        <x:v>0</x:v>
      </x:c>
      <x:c r="AD93" s="21" t="n">
        <x:v>0</x:v>
      </x:c>
      <x:c r="AE93" s="21" t="n">
        <x:v>0</x:v>
      </x:c>
      <x:c r="AF93" s="21" t="n">
        <x:v>0</x:v>
      </x:c>
      <x:c r="AG93" s="21" t="n">
        <x:v>0</x:v>
      </x:c>
      <x:c r="AH93" s="21" t="n">
        <x:v>0</x:v>
      </x:c>
      <x:c r="AI93" s="21" t="n">
        <x:v>0</x:v>
      </x:c>
      <x:c r="AJ93" s="21" t="n">
        <x:v>0</x:v>
      </x:c>
      <x:c r="AK93" s="21" t="n">
        <x:v>0</x:v>
      </x:c>
      <x:c r="AL93" s="21" t="n">
        <x:v>0</x:v>
      </x:c>
      <x:c r="AM93" s="21" t="n">
        <x:v>1</x:v>
      </x:c>
      <x:c r="AN93" s="21" t="n">
        <x:v>1</x:v>
      </x:c>
      <x:c r="AO93" s="21" t="n">
        <x:v>1</x:v>
      </x:c>
      <x:c r="AP93" s="21" t="n">
        <x:v>1</x:v>
      </x:c>
      <x:c r="AQ93" s="21" t="n">
        <x:v>1</x:v>
      </x:c>
      <x:c r="AR93" s="21" t="n">
        <x:v>1</x:v>
      </x:c>
      <x:c r="AS93" s="21" t="n">
        <x:v>1</x:v>
      </x:c>
      <x:c r="AT93" s="21" t="n">
        <x:v>1</x:v>
      </x:c>
      <x:c r="AU93" s="21" t="n">
        <x:v>0</x:v>
      </x:c>
      <x:c r="AV93" s="22" t="n">
        <x:f>IF(C93="QB",N93*0.04+O93*4-P93*2+R93*0.1+S93*6,IF(OR(C93="RB",C93="WR",C93="TE"),U93*0.1+V93*6+R93*0.1+S93*6+X93*0.5+Y93*0.1+Z93*6,IF(C93="K",AC93*3+AD93*4+AE93*5+AF93,IF(C93="DST",AG93+AH93*2+AI93*6+AL93,0))))</x:f>
        <x:v>4.8</x:v>
      </x:c>
      <x:c r="AW93" s="22" t="n">
        <x:f>(AV93+AU93)*G93</x:f>
        <x:v>4.8</x:v>
      </x:c>
      <x:c r="AX93" s="22" t="n">
        <x:f>MAX(0,AW93*IF(C93="QB",0.68,IF(C93="RB",0.58,IF(C93="WR",0.52,IF(C93="TE",0.50,IF(C93="K",0.55,0.40))))))</x:f>
        <x:v>2.784</x:v>
      </x:c>
      <x:c r="AY93" s="22" t="n">
        <x:f>AW93*IF(C93="QB",1.32,IF(C93="RB",1.45,IF(C93="WR",1.55,IF(C93="TE",1.60,IF(C93="K",1.45,1.65)))))</x:f>
        <x:v>6.96</x:v>
      </x:c>
      <x:c r="AZ93" s="12" t="str">
        <x:v>High</x:v>
      </x:c>
      <x:c r="BA93" s="12" t="n">
        <x:v>6</x:v>
      </x:c>
      <x:c r="BB93" s="12" t="n">
        <x:f>COUNTIFS($C$2:$C$344,C93,$AW$2:$AW$344,"&gt;"&amp;AW93,$G$2:$G$344,"&gt;0")+COUNTIFS($C$2:C93,C93,$AW$2:AW93,AW93,$G$2:G93,"&gt;0")</x:f>
        <x:v>56</x:v>
      </x:c>
      <x:c r="BC93" s="12" t="n">
        <x:v>55</x:v>
      </x:c>
      <x:c r="BD93" s="12" t="str">
        <x:f>IF(BB93&lt;BC93,"↑",IF(BB93&gt;BC93,"↓","→"))</x:f>
        <x:v>↓</x:v>
      </x:c>
      <x:c r="BE93" s="23" t="str">
        <x:v>Fantasy Football Brief ROS baseline; official NFL schedule</x:v>
      </x:c>
      <x:c r="BF93" s="23" t="str">
        <x:v>Current role and availability baseline; all adjustment factors shown numerically</x:v>
      </x:c>
      <x:c r="BG93" s="23" t="str">
        <x:v>Material injury, depth-chart, or role change</x:v>
      </x:c>
      <x:c r="BH93" s="24" t="str">
        <x:v>2026-09-23 10:35 CT</x:v>
      </x:c>
    </x:row>
    <x:row r="94">
      <x:c r="A94" s="12" t="str">
        <x:v>Braelon Allen</x:v>
      </x:c>
      <x:c r="B94" s="12" t="str">
        <x:v>NYJ</x:v>
      </x:c>
      <x:c r="C94" s="12" t="str">
        <x:v>RB</x:v>
      </x:c>
      <x:c r="D94" s="12" t="str">
        <x:v>DET</x:v>
      </x:c>
      <x:c r="E94" s="12" t="str">
        <x:v>Away</x:v>
      </x:c>
      <x:c r="F94" s="12" t="str">
        <x:v>2026-09-27</x:v>
      </x:c>
      <x:c r="G94" s="19" t="n">
        <x:v>1</x:v>
      </x:c>
      <x:c r="H94" s="20" t="str">
        <x:v>ACTIVE</x:v>
      </x:c>
      <x:c r="I94" s="20" t="n">
        <x:v>36</x:v>
      </x:c>
      <x:c r="J94" s="20" t="str">
        <x:v>Opportunities</x:v>
      </x:c>
      <x:c r="K94" s="20" t="n">
        <x:v>6.412955465587045</x:v>
      </x:c>
      <x:c r="L94" s="21" t="n">
        <x:v>0</x:v>
      </x:c>
      <x:c r="M94" s="21" t="n">
        <x:v>0</x:v>
      </x:c>
      <x:c r="N94" s="21" t="n">
        <x:v>0</x:v>
      </x:c>
      <x:c r="O94" s="21" t="n">
        <x:v>0</x:v>
      </x:c>
      <x:c r="P94" s="21" t="n">
        <x:v>0</x:v>
      </x:c>
      <x:c r="Q94" s="21" t="n">
        <x:v>0</x:v>
      </x:c>
      <x:c r="R94" s="21" t="n">
        <x:v>0</x:v>
      </x:c>
      <x:c r="S94" s="21" t="n">
        <x:v>0</x:v>
      </x:c>
      <x:c r="T94" s="21" t="n">
        <x:v>5.052631578947368</x:v>
      </x:c>
      <x:c r="U94" s="21" t="n">
        <x:v>21.866234817813766</x:v>
      </x:c>
      <x:c r="V94" s="21" t="n">
        <x:v>0.1508016194331984</x:v>
      </x:c>
      <x:c r="W94" s="21" t="n">
        <x:v>1.360323886639676</x:v>
      </x:c>
      <x:c r="X94" s="21" t="n">
        <x:v>1.0493927125506073</x:v>
      </x:c>
      <x:c r="Y94" s="21" t="n">
        <x:v>8.294089068825912</x:v>
      </x:c>
      <x:c r="Z94" s="21" t="n">
        <x:v>0.0377004048582996</x:v>
      </x:c>
      <x:c r="AA94" s="21" t="n">
        <x:v>0</x:v>
      </x:c>
      <x:c r="AB94" s="21" t="n">
        <x:v>0</x:v>
      </x:c>
      <x:c r="AC94" s="21" t="n">
        <x:v>0</x:v>
      </x:c>
      <x:c r="AD94" s="21" t="n">
        <x:v>0</x:v>
      </x:c>
      <x:c r="AE94" s="21" t="n">
        <x:v>0</x:v>
      </x:c>
      <x:c r="AF94" s="21" t="n">
        <x:v>0</x:v>
      </x:c>
      <x:c r="AG94" s="21" t="n">
        <x:v>0</x:v>
      </x:c>
      <x:c r="AH94" s="21" t="n">
        <x:v>0</x:v>
      </x:c>
      <x:c r="AI94" s="21" t="n">
        <x:v>0</x:v>
      </x:c>
      <x:c r="AJ94" s="21" t="n">
        <x:v>0</x:v>
      </x:c>
      <x:c r="AK94" s="21" t="n">
        <x:v>0</x:v>
      </x:c>
      <x:c r="AL94" s="21" t="n">
        <x:v>0</x:v>
      </x:c>
      <x:c r="AM94" s="21" t="n">
        <x:v>1</x:v>
      </x:c>
      <x:c r="AN94" s="21" t="n">
        <x:v>1</x:v>
      </x:c>
      <x:c r="AO94" s="21" t="n">
        <x:v>1</x:v>
      </x:c>
      <x:c r="AP94" s="21" t="n">
        <x:v>0.97</x:v>
      </x:c>
      <x:c r="AQ94" s="21" t="n">
        <x:v>1</x:v>
      </x:c>
      <x:c r="AR94" s="21" t="n">
        <x:v>1</x:v>
      </x:c>
      <x:c r="AS94" s="21" t="n">
        <x:v>1</x:v>
      </x:c>
      <x:c r="AT94" s="21" t="n">
        <x:v>1</x:v>
      </x:c>
      <x:c r="AU94" s="21" t="n">
        <x:v>0</x:v>
      </x:c>
      <x:c r="AV94" s="22" t="n">
        <x:f>IF(C94="QB",N94*0.04+O94*4-P94*2+R94*0.1+S94*6,IF(OR(C94="RB",C94="WR",C94="TE"),U94*0.1+V94*6+R94*0.1+S94*6+X94*0.5+Y94*0.1+Z94*6,IF(C94="K",AC94*3+AD94*4+AE94*5+AF94,IF(C94="DST",AG94+AH94*2+AI94*6+AL94,0))))</x:f>
        <x:v>4.671740890688259</x:v>
      </x:c>
      <x:c r="AW94" s="22" t="n">
        <x:f>(AV94+AU94)*G94</x:f>
        <x:v>4.671740890688259</x:v>
      </x:c>
      <x:c r="AX94" s="22" t="n">
        <x:f>MAX(0,AW94*IF(C94="QB",0.68,IF(C94="RB",0.58,IF(C94="WR",0.52,IF(C94="TE",0.50,IF(C94="K",0.55,0.40))))))</x:f>
        <x:v>2.70960971659919</x:v>
      </x:c>
      <x:c r="AY94" s="22" t="n">
        <x:f>AW94*IF(C94="QB",1.32,IF(C94="RB",1.45,IF(C94="WR",1.55,IF(C94="TE",1.60,IF(C94="K",1.45,1.65)))))</x:f>
        <x:v>6.774024291497975</x:v>
      </x:c>
      <x:c r="AZ94" s="12" t="str">
        <x:v>High</x:v>
      </x:c>
      <x:c r="BA94" s="12" t="n">
        <x:v>6</x:v>
      </x:c>
      <x:c r="BB94" s="12" t="n">
        <x:f>COUNTIFS($C$2:$C$344,C94,$AW$2:$AW$344,"&gt;"&amp;AW94,$G$2:$G$344,"&gt;0")+COUNTIFS($C$2:C94,C94,$AW$2:AW94,AW94,$G$2:G94,"&gt;0")</x:f>
        <x:v>57</x:v>
      </x:c>
      <x:c r="BC94" s="12" t="n">
        <x:v>56</x:v>
      </x:c>
      <x:c r="BD94" s="12" t="str">
        <x:f>IF(BB94&lt;BC94,"↑",IF(BB94&gt;BC94,"↓","→"))</x:f>
        <x:v>↓</x:v>
      </x:c>
      <x:c r="BE94" s="23" t="str">
        <x:v>Fantasy Football Brief ROS baseline; official NFL schedule</x:v>
      </x:c>
      <x:c r="BF94" s="23" t="str">
        <x:v>Current role and availability baseline; all adjustment factors shown numerically</x:v>
      </x:c>
      <x:c r="BG94" s="23" t="str">
        <x:v>Material injury, depth-chart, or role change</x:v>
      </x:c>
      <x:c r="BH94" s="24" t="str">
        <x:v>2026-09-23 10:35 CT</x:v>
      </x:c>
    </x:row>
    <x:row r="95">
      <x:c r="A95" s="12" t="str">
        <x:v>Keaton Mitchell</x:v>
      </x:c>
      <x:c r="B95" s="12" t="str">
        <x:v>LAC</x:v>
      </x:c>
      <x:c r="C95" s="12" t="str">
        <x:v>RB</x:v>
      </x:c>
      <x:c r="D95" s="12" t="str">
        <x:v>BUF</x:v>
      </x:c>
      <x:c r="E95" s="12" t="str">
        <x:v>Away</x:v>
      </x:c>
      <x:c r="F95" s="12" t="str">
        <x:v>2026-09-27</x:v>
      </x:c>
      <x:c r="G95" s="19" t="n">
        <x:v>1</x:v>
      </x:c>
      <x:c r="H95" s="20" t="str">
        <x:v>ACTIVE</x:v>
      </x:c>
      <x:c r="I95" s="20" t="n">
        <x:v>36</x:v>
      </x:c>
      <x:c r="J95" s="20" t="str">
        <x:v>Opportunities</x:v>
      </x:c>
      <x:c r="K95" s="20" t="n">
        <x:v>6.279352226720649</x:v>
      </x:c>
      <x:c r="L95" s="21" t="n">
        <x:v>0</x:v>
      </x:c>
      <x:c r="M95" s="21" t="n">
        <x:v>0</x:v>
      </x:c>
      <x:c r="N95" s="21" t="n">
        <x:v>0</x:v>
      </x:c>
      <x:c r="O95" s="21" t="n">
        <x:v>0</x:v>
      </x:c>
      <x:c r="P95" s="21" t="n">
        <x:v>0</x:v>
      </x:c>
      <x:c r="Q95" s="21" t="n">
        <x:v>0</x:v>
      </x:c>
      <x:c r="R95" s="21" t="n">
        <x:v>0</x:v>
      </x:c>
      <x:c r="S95" s="21" t="n">
        <x:v>0</x:v>
      </x:c>
      <x:c r="T95" s="21" t="n">
        <x:v>4.947368421052632</x:v>
      </x:c>
      <x:c r="U95" s="21" t="n">
        <x:v>21.401859109311744</x:v>
      </x:c>
      <x:c r="V95" s="21" t="n">
        <x:v>0.147599028340081</x:v>
      </x:c>
      <x:c r="W95" s="21" t="n">
        <x:v>1.3319838056680164</x:v>
      </x:c>
      <x:c r="X95" s="21" t="n">
        <x:v>1.0275303643724698</x:v>
      </x:c>
      <x:c r="Y95" s="21" t="n">
        <x:v>8.117946558704455</x:v>
      </x:c>
      <x:c r="Z95" s="21" t="n">
        <x:v>0.03689975708502025</x:v>
      </x:c>
      <x:c r="AA95" s="21" t="n">
        <x:v>0</x:v>
      </x:c>
      <x:c r="AB95" s="21" t="n">
        <x:v>0</x:v>
      </x:c>
      <x:c r="AC95" s="21" t="n">
        <x:v>0</x:v>
      </x:c>
      <x:c r="AD95" s="21" t="n">
        <x:v>0</x:v>
      </x:c>
      <x:c r="AE95" s="21" t="n">
        <x:v>0</x:v>
      </x:c>
      <x:c r="AF95" s="21" t="n">
        <x:v>0</x:v>
      </x:c>
      <x:c r="AG95" s="21" t="n">
        <x:v>0</x:v>
      </x:c>
      <x:c r="AH95" s="21" t="n">
        <x:v>0</x:v>
      </x:c>
      <x:c r="AI95" s="21" t="n">
        <x:v>0</x:v>
      </x:c>
      <x:c r="AJ95" s="21" t="n">
        <x:v>0</x:v>
      </x:c>
      <x:c r="AK95" s="21" t="n">
        <x:v>0</x:v>
      </x:c>
      <x:c r="AL95" s="21" t="n">
        <x:v>0</x:v>
      </x:c>
      <x:c r="AM95" s="21" t="n">
        <x:v>1</x:v>
      </x:c>
      <x:c r="AN95" s="21" t="n">
        <x:v>1</x:v>
      </x:c>
      <x:c r="AO95" s="21" t="n">
        <x:v>1</x:v>
      </x:c>
      <x:c r="AP95" s="21" t="n">
        <x:v>1.01</x:v>
      </x:c>
      <x:c r="AQ95" s="21" t="n">
        <x:v>0.96</x:v>
      </x:c>
      <x:c r="AR95" s="21" t="n">
        <x:v>1</x:v>
      </x:c>
      <x:c r="AS95" s="21" t="n">
        <x:v>1</x:v>
      </x:c>
      <x:c r="AT95" s="21" t="n">
        <x:v>1</x:v>
      </x:c>
      <x:c r="AU95" s="21" t="n">
        <x:v>0</x:v>
      </x:c>
      <x:c r="AV95" s="22" t="n">
        <x:f>IF(C95="QB",N95*0.04+O95*4-P95*2+R95*0.1+S95*6,IF(OR(C95="RB",C95="WR",C95="TE"),U95*0.1+V95*6+R95*0.1+S95*6+X95*0.5+Y95*0.1+Z95*6,IF(C95="K",AC95*3+AD95*4+AE95*5+AF95,IF(C95="DST",AG95+AH95*2+AI95*6+AL95,0))))</x:f>
        <x:v>4.572738461538463</x:v>
      </x:c>
      <x:c r="AW95" s="22" t="n">
        <x:f>(AV95+AU95)*G95</x:f>
        <x:v>4.572738461538463</x:v>
      </x:c>
      <x:c r="AX95" s="22" t="n">
        <x:f>MAX(0,AW95*IF(C95="QB",0.68,IF(C95="RB",0.58,IF(C95="WR",0.52,IF(C95="TE",0.50,IF(C95="K",0.55,0.40))))))</x:f>
        <x:v>2.6521883076923083</x:v>
      </x:c>
      <x:c r="AY95" s="22" t="n">
        <x:f>AW95*IF(C95="QB",1.32,IF(C95="RB",1.45,IF(C95="WR",1.55,IF(C95="TE",1.60,IF(C95="K",1.45,1.65)))))</x:f>
        <x:v>6.6304707692307705</x:v>
      </x:c>
      <x:c r="AZ95" s="12" t="str">
        <x:v>High</x:v>
      </x:c>
      <x:c r="BA95" s="12" t="n">
        <x:v>6</x:v>
      </x:c>
      <x:c r="BB95" s="12" t="n">
        <x:f>COUNTIFS($C$2:$C$344,C95,$AW$2:$AW$344,"&gt;"&amp;AW95,$G$2:$G$344,"&gt;0")+COUNTIFS($C$2:C95,C95,$AW$2:AW95,AW95,$G$2:G95,"&gt;0")</x:f>
        <x:v>58</x:v>
      </x:c>
      <x:c r="BC95" s="12" t="n">
        <x:v>57</x:v>
      </x:c>
      <x:c r="BD95" s="12" t="str">
        <x:f>IF(BB95&lt;BC95,"↑",IF(BB95&gt;BC95,"↓","→"))</x:f>
        <x:v>↓</x:v>
      </x:c>
      <x:c r="BE95" s="23" t="str">
        <x:v>Fantasy Football Brief ROS baseline; official NFL schedule</x:v>
      </x:c>
      <x:c r="BF95" s="23" t="str">
        <x:v>Current role and availability baseline; all adjustment factors shown numerically</x:v>
      </x:c>
      <x:c r="BG95" s="23" t="str">
        <x:v>Material injury, depth-chart, or role change</x:v>
      </x:c>
      <x:c r="BH95" s="24" t="str">
        <x:v>2026-09-23 10:35 CT</x:v>
      </x:c>
    </x:row>
    <x:row r="96">
      <x:c r="A96" s="12" t="str">
        <x:v>Jaylen Wright</x:v>
      </x:c>
      <x:c r="B96" s="12" t="str">
        <x:v>MIA</x:v>
      </x:c>
      <x:c r="C96" s="12" t="str">
        <x:v>RB</x:v>
      </x:c>
      <x:c r="D96" s="12" t="str">
        <x:v>KC</x:v>
      </x:c>
      <x:c r="E96" s="12" t="str">
        <x:v>Home</x:v>
      </x:c>
      <x:c r="F96" s="12" t="str">
        <x:v>2026-09-27</x:v>
      </x:c>
      <x:c r="G96" s="19" t="n">
        <x:v>1</x:v>
      </x:c>
      <x:c r="H96" s="20" t="str">
        <x:v>ACTIVE</x:v>
      </x:c>
      <x:c r="I96" s="20" t="n">
        <x:v>36</x:v>
      </x:c>
      <x:c r="J96" s="20" t="str">
        <x:v>Opportunities</x:v>
      </x:c>
      <x:c r="K96" s="20" t="n">
        <x:v>6.412955465587045</x:v>
      </x:c>
      <x:c r="L96" s="21" t="n">
        <x:v>0</x:v>
      </x:c>
      <x:c r="M96" s="21" t="n">
        <x:v>0</x:v>
      </x:c>
      <x:c r="N96" s="21" t="n">
        <x:v>0</x:v>
      </x:c>
      <x:c r="O96" s="21" t="n">
        <x:v>0</x:v>
      </x:c>
      <x:c r="P96" s="21" t="n">
        <x:v>0</x:v>
      </x:c>
      <x:c r="Q96" s="21" t="n">
        <x:v>0</x:v>
      </x:c>
      <x:c r="R96" s="21" t="n">
        <x:v>0</x:v>
      </x:c>
      <x:c r="S96" s="21" t="n">
        <x:v>0</x:v>
      </x:c>
      <x:c r="T96" s="21" t="n">
        <x:v>5.052631578947368</x:v>
      </x:c>
      <x:c r="U96" s="21" t="n">
        <x:v>20.991585425101214</x:v>
      </x:c>
      <x:c r="V96" s="21" t="n">
        <x:v>0.14476955465587044</x:v>
      </x:c>
      <x:c r="W96" s="21" t="n">
        <x:v>1.360323886639676</x:v>
      </x:c>
      <x:c r="X96" s="21" t="n">
        <x:v>1.0493927125506073</x:v>
      </x:c>
      <x:c r="Y96" s="21" t="n">
        <x:v>7.962325506072874</x:v>
      </x:c>
      <x:c r="Z96" s="21" t="n">
        <x:v>0.03619238866396761</x:v>
      </x:c>
      <x:c r="AA96" s="21" t="n">
        <x:v>0</x:v>
      </x:c>
      <x:c r="AB96" s="21" t="n">
        <x:v>0</x:v>
      </x:c>
      <x:c r="AC96" s="21" t="n">
        <x:v>0</x:v>
      </x:c>
      <x:c r="AD96" s="21" t="n">
        <x:v>0</x:v>
      </x:c>
      <x:c r="AE96" s="21" t="n">
        <x:v>0</x:v>
      </x:c>
      <x:c r="AF96" s="21" t="n">
        <x:v>0</x:v>
      </x:c>
      <x:c r="AG96" s="21" t="n">
        <x:v>0</x:v>
      </x:c>
      <x:c r="AH96" s="21" t="n">
        <x:v>0</x:v>
      </x:c>
      <x:c r="AI96" s="21" t="n">
        <x:v>0</x:v>
      </x:c>
      <x:c r="AJ96" s="21" t="n">
        <x:v>0</x:v>
      </x:c>
      <x:c r="AK96" s="21" t="n">
        <x:v>0</x:v>
      </x:c>
      <x:c r="AL96" s="21" t="n">
        <x:v>0</x:v>
      </x:c>
      <x:c r="AM96" s="21" t="n">
        <x:v>1</x:v>
      </x:c>
      <x:c r="AN96" s="21" t="n">
        <x:v>1</x:v>
      </x:c>
      <x:c r="AO96" s="21" t="n">
        <x:v>1</x:v>
      </x:c>
      <x:c r="AP96" s="21" t="n">
        <x:v>0.97</x:v>
      </x:c>
      <x:c r="AQ96" s="21" t="n">
        <x:v>0.96</x:v>
      </x:c>
      <x:c r="AR96" s="21" t="n">
        <x:v>1</x:v>
      </x:c>
      <x:c r="AS96" s="21" t="n">
        <x:v>1</x:v>
      </x:c>
      <x:c r="AT96" s="21" t="n">
        <x:v>1</x:v>
      </x:c>
      <x:c r="AU96" s="21" t="n">
        <x:v>0</x:v>
      </x:c>
      <x:c r="AV96" s="22" t="n">
        <x:f>IF(C96="QB",N96*0.04+O96*4-P96*2+R96*0.1+S96*6,IF(OR(C96="RB",C96="WR",C96="TE"),U96*0.1+V96*6+R96*0.1+S96*6+X96*0.5+Y96*0.1+Z96*6,IF(C96="K",AC96*3+AD96*4+AE96*5+AF96,IF(C96="DST",AG96+AH96*2+AI96*6+AL96,0))))</x:f>
        <x:v>4.50585910931174</x:v>
      </x:c>
      <x:c r="AW96" s="22" t="n">
        <x:f>(AV96+AU96)*G96</x:f>
        <x:v>4.50585910931174</x:v>
      </x:c>
      <x:c r="AX96" s="22" t="n">
        <x:f>MAX(0,AW96*IF(C96="QB",0.68,IF(C96="RB",0.58,IF(C96="WR",0.52,IF(C96="TE",0.50,IF(C96="K",0.55,0.40))))))</x:f>
        <x:v>2.613398283400809</x:v>
      </x:c>
      <x:c r="AY96" s="22" t="n">
        <x:f>AW96*IF(C96="QB",1.32,IF(C96="RB",1.45,IF(C96="WR",1.55,IF(C96="TE",1.60,IF(C96="K",1.45,1.65)))))</x:f>
        <x:v>6.533495708502023</x:v>
      </x:c>
      <x:c r="AZ96" s="12" t="str">
        <x:v>High</x:v>
      </x:c>
      <x:c r="BA96" s="12" t="n">
        <x:v>6</x:v>
      </x:c>
      <x:c r="BB96" s="12" t="n">
        <x:f>COUNTIFS($C$2:$C$344,C96,$AW$2:$AW$344,"&gt;"&amp;AW96,$G$2:$G$344,"&gt;0")+COUNTIFS($C$2:C96,C96,$AW$2:AW96,AW96,$G$2:G96,"&gt;0")</x:f>
        <x:v>59</x:v>
      </x:c>
      <x:c r="BC96" s="12" t="n">
        <x:v>58</x:v>
      </x:c>
      <x:c r="BD96" s="12" t="str">
        <x:f>IF(BB96&lt;BC96,"↑",IF(BB96&gt;BC96,"↓","→"))</x:f>
        <x:v>↓</x:v>
      </x:c>
      <x:c r="BE96" s="23" t="str">
        <x:v>Fantasy Football Brief ROS baseline; official NFL schedule</x:v>
      </x:c>
      <x:c r="BF96" s="23" t="str">
        <x:v>Current role and availability baseline; all adjustment factors shown numerically</x:v>
      </x:c>
      <x:c r="BG96" s="23" t="str">
        <x:v>Material injury, depth-chart, or role change</x:v>
      </x:c>
      <x:c r="BH96" s="24" t="str">
        <x:v>2026-09-23 10:35 CT</x:v>
      </x:c>
    </x:row>
    <x:row r="97">
      <x:c r="A97" s="12" t="str">
        <x:v>Kimani Vidal</x:v>
      </x:c>
      <x:c r="B97" s="12" t="str">
        <x:v>LAC</x:v>
      </x:c>
      <x:c r="C97" s="12" t="str">
        <x:v>RB</x:v>
      </x:c>
      <x:c r="D97" s="12" t="str">
        <x:v>BUF</x:v>
      </x:c>
      <x:c r="E97" s="12" t="str">
        <x:v>Away</x:v>
      </x:c>
      <x:c r="F97" s="12" t="str">
        <x:v>2026-09-27</x:v>
      </x:c>
      <x:c r="G97" s="19" t="n">
        <x:v>1</x:v>
      </x:c>
      <x:c r="H97" s="20" t="str">
        <x:v>ACTIVE</x:v>
      </x:c>
      <x:c r="I97" s="20" t="n">
        <x:v>36</x:v>
      </x:c>
      <x:c r="J97" s="20" t="str">
        <x:v>Opportunities</x:v>
      </x:c>
      <x:c r="K97" s="20" t="n">
        <x:v>5.34412955465587</x:v>
      </x:c>
      <x:c r="L97" s="21" t="n">
        <x:v>0</x:v>
      </x:c>
      <x:c r="M97" s="21" t="n">
        <x:v>0</x:v>
      </x:c>
      <x:c r="N97" s="21" t="n">
        <x:v>0</x:v>
      </x:c>
      <x:c r="O97" s="21" t="n">
        <x:v>0</x:v>
      </x:c>
      <x:c r="P97" s="21" t="n">
        <x:v>0</x:v>
      </x:c>
      <x:c r="Q97" s="21" t="n">
        <x:v>0</x:v>
      </x:c>
      <x:c r="R97" s="21" t="n">
        <x:v>0</x:v>
      </x:c>
      <x:c r="S97" s="21" t="n">
        <x:v>0</x:v>
      </x:c>
      <x:c r="T97" s="21" t="n">
        <x:v>4.2105263157894735</x:v>
      </x:c>
      <x:c r="U97" s="21" t="n">
        <x:v>18.21434817813765</x:v>
      </x:c>
      <x:c r="V97" s="21" t="n">
        <x:v>0.12561619433198382</x:v>
      </x:c>
      <x:c r="W97" s="21" t="n">
        <x:v>1.1336032388663968</x:v>
      </x:c>
      <x:c r="X97" s="21" t="n">
        <x:v>0.8744939271255061</x:v>
      </x:c>
      <x:c r="Y97" s="21" t="n">
        <x:v>6.908890688259109</x:v>
      </x:c>
      <x:c r="Z97" s="21" t="n">
        <x:v>0.031404048582995954</x:v>
      </x:c>
      <x:c r="AA97" s="21" t="n">
        <x:v>0</x:v>
      </x:c>
      <x:c r="AB97" s="21" t="n">
        <x:v>0</x:v>
      </x:c>
      <x:c r="AC97" s="21" t="n">
        <x:v>0</x:v>
      </x:c>
      <x:c r="AD97" s="21" t="n">
        <x:v>0</x:v>
      </x:c>
      <x:c r="AE97" s="21" t="n">
        <x:v>0</x:v>
      </x:c>
      <x:c r="AF97" s="21" t="n">
        <x:v>0</x:v>
      </x:c>
      <x:c r="AG97" s="21" t="n">
        <x:v>0</x:v>
      </x:c>
      <x:c r="AH97" s="21" t="n">
        <x:v>0</x:v>
      </x:c>
      <x:c r="AI97" s="21" t="n">
        <x:v>0</x:v>
      </x:c>
      <x:c r="AJ97" s="21" t="n">
        <x:v>0</x:v>
      </x:c>
      <x:c r="AK97" s="21" t="n">
        <x:v>0</x:v>
      </x:c>
      <x:c r="AL97" s="21" t="n">
        <x:v>0</x:v>
      </x:c>
      <x:c r="AM97" s="21" t="n">
        <x:v>1</x:v>
      </x:c>
      <x:c r="AN97" s="21" t="n">
        <x:v>1</x:v>
      </x:c>
      <x:c r="AO97" s="21" t="n">
        <x:v>1</x:v>
      </x:c>
      <x:c r="AP97" s="21" t="n">
        <x:v>1.01</x:v>
      </x:c>
      <x:c r="AQ97" s="21" t="n">
        <x:v>0.96</x:v>
      </x:c>
      <x:c r="AR97" s="21" t="n">
        <x:v>1</x:v>
      </x:c>
      <x:c r="AS97" s="21" t="n">
        <x:v>1</x:v>
      </x:c>
      <x:c r="AT97" s="21" t="n">
        <x:v>1</x:v>
      </x:c>
      <x:c r="AU97" s="21" t="n">
        <x:v>0</x:v>
      </x:c>
      <x:c r="AV97" s="22" t="n">
        <x:f>IF(C97="QB",N97*0.04+O97*4-P97*2+R97*0.1+S97*6,IF(OR(C97="RB",C97="WR",C97="TE"),U97*0.1+V97*6+R97*0.1+S97*6+X97*0.5+Y97*0.1+Z97*6,IF(C97="K",AC97*3+AD97*4+AE97*5+AF97,IF(C97="DST",AG97+AH97*2+AI97*6+AL97,0))))</x:f>
        <x:v>3.891692307692308</x:v>
      </x:c>
      <x:c r="AW97" s="22" t="n">
        <x:f>(AV97+AU97)*G97</x:f>
        <x:v>3.891692307692308</x:v>
      </x:c>
      <x:c r="AX97" s="22" t="n">
        <x:f>MAX(0,AW97*IF(C97="QB",0.68,IF(C97="RB",0.58,IF(C97="WR",0.52,IF(C97="TE",0.50,IF(C97="K",0.55,0.40))))))</x:f>
        <x:v>2.2571815384615386</x:v>
      </x:c>
      <x:c r="AY97" s="22" t="n">
        <x:f>AW97*IF(C97="QB",1.32,IF(C97="RB",1.45,IF(C97="WR",1.55,IF(C97="TE",1.60,IF(C97="K",1.45,1.65)))))</x:f>
        <x:v>5.642953846153847</x:v>
      </x:c>
      <x:c r="AZ97" s="12" t="str">
        <x:v>High</x:v>
      </x:c>
      <x:c r="BA97" s="12" t="n">
        <x:v>7</x:v>
      </x:c>
      <x:c r="BB97" s="12" t="n">
        <x:f>COUNTIFS($C$2:$C$344,C97,$AW$2:$AW$344,"&gt;"&amp;AW97,$G$2:$G$344,"&gt;0")+COUNTIFS($C$2:C97,C97,$AW$2:AW97,AW97,$G$2:G97,"&gt;0")</x:f>
        <x:v>60</x:v>
      </x:c>
      <x:c r="BC97" s="12" t="n">
        <x:v>60</x:v>
      </x:c>
      <x:c r="BD97" s="12" t="str">
        <x:f>IF(BB97&lt;BC97,"↑",IF(BB97&gt;BC97,"↓","→"))</x:f>
        <x:v>→</x:v>
      </x:c>
      <x:c r="BE97" s="23" t="str">
        <x:v>Fantasy Football Brief ROS baseline; official NFL schedule</x:v>
      </x:c>
      <x:c r="BF97" s="23" t="str">
        <x:v>Current role and availability baseline; all adjustment factors shown numerically</x:v>
      </x:c>
      <x:c r="BG97" s="23" t="str">
        <x:v>Material injury, depth-chart, or role change</x:v>
      </x:c>
      <x:c r="BH97" s="24" t="str">
        <x:v>2026-09-23 10:35 CT</x:v>
      </x:c>
    </x:row>
    <x:row r="98">
      <x:c r="A98" s="12" t="str">
        <x:v>Najee Harris</x:v>
      </x:c>
      <x:c r="B98" s="12" t="str">
        <x:v>NYG</x:v>
      </x:c>
      <x:c r="C98" s="12" t="str">
        <x:v>RB</x:v>
      </x:c>
      <x:c r="D98" s="12" t="str">
        <x:v>TEN</x:v>
      </x:c>
      <x:c r="E98" s="12" t="str">
        <x:v>Home</x:v>
      </x:c>
      <x:c r="F98" s="12" t="str">
        <x:v>2026-09-27</x:v>
      </x:c>
      <x:c r="G98" s="19" t="n">
        <x:v>1</x:v>
      </x:c>
      <x:c r="H98" s="20" t="str">
        <x:v>ACTIVE</x:v>
      </x:c>
      <x:c r="I98" s="20" t="n">
        <x:v>36</x:v>
      </x:c>
      <x:c r="J98" s="20" t="str">
        <x:v>Opportunities</x:v>
      </x:c>
      <x:c r="K98" s="20" t="n">
        <x:v>5.210526315789473</x:v>
      </x:c>
      <x:c r="L98" s="21" t="n">
        <x:v>0</x:v>
      </x:c>
      <x:c r="M98" s="21" t="n">
        <x:v>0</x:v>
      </x:c>
      <x:c r="N98" s="21" t="n">
        <x:v>0</x:v>
      </x:c>
      <x:c r="O98" s="21" t="n">
        <x:v>0</x:v>
      </x:c>
      <x:c r="P98" s="21" t="n">
        <x:v>0</x:v>
      </x:c>
      <x:c r="Q98" s="21" t="n">
        <x:v>0</x:v>
      </x:c>
      <x:c r="R98" s="21" t="n">
        <x:v>0</x:v>
      </x:c>
      <x:c r="S98" s="21" t="n">
        <x:v>0</x:v>
      </x:c>
      <x:c r="T98" s="21" t="n">
        <x:v>4.105263157894736</x:v>
      </x:c>
      <x:c r="U98" s="21" t="n">
        <x:v>17.934821052631577</x:v>
      </x:c>
      <x:c r="V98" s="21" t="n">
        <x:v>0.12368842105263157</x:v>
      </x:c>
      <x:c r="W98" s="21" t="n">
        <x:v>1.1052631578947367</x:v>
      </x:c>
      <x:c r="X98" s="21" t="n">
        <x:v>0.8099999999999999</x:v>
      </x:c>
      <x:c r="Y98" s="21" t="n">
        <x:v>6.122576842105262</x:v>
      </x:c>
      <x:c r="Z98" s="21" t="n">
        <x:v>0.02628378947368421</x:v>
      </x:c>
      <x:c r="AA98" s="21" t="n">
        <x:v>0</x:v>
      </x:c>
      <x:c r="AB98" s="21" t="n">
        <x:v>0</x:v>
      </x:c>
      <x:c r="AC98" s="21" t="n">
        <x:v>0</x:v>
      </x:c>
      <x:c r="AD98" s="21" t="n">
        <x:v>0</x:v>
      </x:c>
      <x:c r="AE98" s="21" t="n">
        <x:v>0</x:v>
      </x:c>
      <x:c r="AF98" s="21" t="n">
        <x:v>0</x:v>
      </x:c>
      <x:c r="AG98" s="21" t="n">
        <x:v>0</x:v>
      </x:c>
      <x:c r="AH98" s="21" t="n">
        <x:v>0</x:v>
      </x:c>
      <x:c r="AI98" s="21" t="n">
        <x:v>0</x:v>
      </x:c>
      <x:c r="AJ98" s="21" t="n">
        <x:v>0</x:v>
      </x:c>
      <x:c r="AK98" s="21" t="n">
        <x:v>0</x:v>
      </x:c>
      <x:c r="AL98" s="21" t="n">
        <x:v>0</x:v>
      </x:c>
      <x:c r="AM98" s="21" t="n">
        <x:v>1</x:v>
      </x:c>
      <x:c r="AN98" s="21" t="n">
        <x:v>1</x:v>
      </x:c>
      <x:c r="AO98" s="21" t="n">
        <x:v>1</x:v>
      </x:c>
      <x:c r="AP98" s="21" t="n">
        <x:v>0.96</x:v>
      </x:c>
      <x:c r="AQ98" s="21" t="n">
        <x:v>1.02</x:v>
      </x:c>
      <x:c r="AR98" s="21" t="n">
        <x:v>1</x:v>
      </x:c>
      <x:c r="AS98" s="21" t="n">
        <x:v>1</x:v>
      </x:c>
      <x:c r="AT98" s="21" t="n">
        <x:v>1</x:v>
      </x:c>
      <x:c r="AU98" s="21" t="n">
        <x:v>0</x:v>
      </x:c>
      <x:c r="AV98" s="22" t="n">
        <x:f>IF(C98="QB",N98*0.04+O98*4-P98*2+R98*0.1+S98*6,IF(OR(C98="RB",C98="WR",C98="TE"),U98*0.1+V98*6+R98*0.1+S98*6+X98*0.5+Y98*0.1+Z98*6,IF(C98="K",AC98*3+AD98*4+AE98*5+AF98,IF(C98="DST",AG98+AH98*2+AI98*6+AL98,0))))</x:f>
        <x:v>3.7105730526315783</x:v>
      </x:c>
      <x:c r="AW98" s="22" t="n">
        <x:f>(AV98+AU98)*G98</x:f>
        <x:v>3.7105730526315783</x:v>
      </x:c>
      <x:c r="AX98" s="22" t="n">
        <x:f>MAX(0,AW98*IF(C98="QB",0.68,IF(C98="RB",0.58,IF(C98="WR",0.52,IF(C98="TE",0.50,IF(C98="K",0.55,0.40))))))</x:f>
        <x:v>2.1521323705263153</x:v>
      </x:c>
      <x:c r="AY98" s="22" t="n">
        <x:f>AW98*IF(C98="QB",1.32,IF(C98="RB",1.45,IF(C98="WR",1.55,IF(C98="TE",1.60,IF(C98="K",1.45,1.65)))))</x:f>
        <x:v>5.380330926315788</x:v>
      </x:c>
      <x:c r="AZ98" s="12" t="str">
        <x:v>Moderate</x:v>
      </x:c>
      <x:c r="BA98" s="12" t="n">
        <x:v>7</x:v>
      </x:c>
      <x:c r="BB98" s="12" t="n">
        <x:f>COUNTIFS($C$2:$C$344,C98,$AW$2:$AW$344,"&gt;"&amp;AW98,$G$2:$G$344,"&gt;0")+COUNTIFS($C$2:C98,C98,$AW$2:AW98,AW98,$G$2:G98,"&gt;0")</x:f>
        <x:v>62</x:v>
      </x:c>
      <x:c r="BC98" s="12" t="n">
        <x:v>61</x:v>
      </x:c>
      <x:c r="BD98" s="12" t="str">
        <x:f>IF(BB98&lt;BC98,"↑",IF(BB98&gt;BC98,"↓","→"))</x:f>
        <x:v>↓</x:v>
      </x:c>
      <x:c r="BE98" s="23" t="str">
        <x:v>https://www.giants.com/news/jaxson-dart-to-miss-rest-of-regular-season-jameis-winston-to-start-quarterback-injury-john-harbaugh</x:v>
      </x:c>
      <x:c r="BF98" s="23" t="str">
        <x:v>Winston efficiency revision: receiving catches x0.95,yards x0.90,TD x0.85; targets/carries retained. More uncertain accuracy and scoring reduce receiver production; unranked residual explicitly retained in team budget.</x:v>
      </x:c>
      <x:c r="BG98" s="23" t="str">
        <x:v>Next official practice report and game-status designation</x:v>
      </x:c>
      <x:c r="BH98" s="24" t="str">
        <x:v>2026-09-24 7:40 PM CT</x:v>
      </x:c>
    </x:row>
    <x:row r="99">
      <x:c r="A99" s="12" t="str">
        <x:v>Kaleb Johnson</x:v>
      </x:c>
      <x:c r="B99" s="12" t="str">
        <x:v>GB</x:v>
      </x:c>
      <x:c r="C99" s="12" t="str">
        <x:v>RB</x:v>
      </x:c>
      <x:c r="D99" s="12" t="str">
        <x:v>ATL</x:v>
      </x:c>
      <x:c r="E99" s="12" t="str">
        <x:v>Home</x:v>
      </x:c>
      <x:c r="F99" s="12" t="str">
        <x:v>2026-09-24</x:v>
      </x:c>
      <x:c r="G99" s="19" t="n">
        <x:v>1</x:v>
      </x:c>
      <x:c r="H99" s="20" t="str">
        <x:v>ACTIVE</x:v>
      </x:c>
      <x:c r="I99" s="20" t="n">
        <x:v>22</x:v>
      </x:c>
      <x:c r="J99" s="20" t="str">
        <x:v>Carries + targets</x:v>
      </x:c>
      <x:c r="K99" s="20" t="n">
        <x:v>10.7</x:v>
      </x:c>
      <x:c r="L99" s="21" t="n">
        <x:v>0</x:v>
      </x:c>
      <x:c r="M99" s="21" t="n">
        <x:v>0</x:v>
      </x:c>
      <x:c r="N99" s="21" t="n">
        <x:v>0</x:v>
      </x:c>
      <x:c r="O99" s="21" t="n">
        <x:v>0</x:v>
      </x:c>
      <x:c r="P99" s="21" t="n">
        <x:v>0</x:v>
      </x:c>
      <x:c r="Q99" s="21" t="n">
        <x:v>0</x:v>
      </x:c>
      <x:c r="R99" s="21" t="n">
        <x:v>0</x:v>
      </x:c>
      <x:c r="S99" s="21" t="n">
        <x:v>0</x:v>
      </x:c>
      <x:c r="T99" s="21" t="n">
        <x:v>10</x:v>
      </x:c>
      <x:c r="U99" s="21" t="n">
        <x:v>40</x:v>
      </x:c>
      <x:c r="V99" s="21" t="n">
        <x:v>0.18</x:v>
      </x:c>
      <x:c r="W99" s="21" t="n">
        <x:v>0.7</x:v>
      </x:c>
      <x:c r="X99" s="21" t="n">
        <x:v>0.5</x:v>
      </x:c>
      <x:c r="Y99" s="21" t="n">
        <x:v>4</x:v>
      </x:c>
      <x:c r="Z99" s="21" t="n">
        <x:v>0.015</x:v>
      </x:c>
      <x:c r="AA99" s="21" t="n">
        <x:v>6</x:v>
      </x:c>
      <x:c r="AB99" s="21" t="n">
        <x:v>0.17647058823529413</x:v>
      </x:c>
      <x:c r="AC99" s="21" t="n">
        <x:v>0</x:v>
      </x:c>
      <x:c r="AD99" s="21" t="n">
        <x:v>0</x:v>
      </x:c>
      <x:c r="AE99" s="21" t="n">
        <x:v>0</x:v>
      </x:c>
      <x:c r="AF99" s="21" t="n">
        <x:v>0</x:v>
      </x:c>
      <x:c r="AG99" s="21" t="n">
        <x:v>0</x:v>
      </x:c>
      <x:c r="AH99" s="21" t="n">
        <x:v>0</x:v>
      </x:c>
      <x:c r="AI99" s="21" t="n">
        <x:v>0</x:v>
      </x:c>
      <x:c r="AJ99" s="21" t="n">
        <x:v>0</x:v>
      </x:c>
      <x:c r="AK99" s="21" t="n">
        <x:v>0</x:v>
      </x:c>
      <x:c r="AL99" s="21" t="n">
        <x:v>0</x:v>
      </x:c>
      <x:c r="AM99" s="21" t="n">
        <x:v>1</x:v>
      </x:c>
      <x:c r="AN99" s="21" t="n">
        <x:v>1</x:v>
      </x:c>
      <x:c r="AO99" s="21" t="n">
        <x:v>1</x:v>
      </x:c>
      <x:c r="AP99" s="21" t="n">
        <x:v>1.02</x:v>
      </x:c>
      <x:c r="AQ99" s="21" t="n">
        <x:v>1.01</x:v>
      </x:c>
      <x:c r="AR99" s="21" t="n">
        <x:v>1</x:v>
      </x:c>
      <x:c r="AS99" s="21" t="n">
        <x:v>1</x:v>
      </x:c>
      <x:c r="AT99" s="21" t="n">
        <x:v>1</x:v>
      </x:c>
      <x:c r="AU99" s="21" t="n">
        <x:v>0</x:v>
      </x:c>
      <x:c r="AV99" s="22" t="n">
        <x:f>IF(C99="QB",N99*0.04+O99*4-P99*2+R99*0.1+S99*6,IF(OR(C99="RB",C99="WR",C99="TE"),U99*0.1+V99*6+R99*0.1+S99*6+X99*0.5+Y99*0.1+Z99*6,IF(C99="K",AC99*3+AD99*4+AE99*5+AF99,IF(C99="DST",AG99+AH99*2+AI99*6+AL99,0))))</x:f>
        <x:v>5.82</x:v>
      </x:c>
      <x:c r="AW99" s="22" t="n">
        <x:f>(AV99+AU99)*G99</x:f>
        <x:v>5.82</x:v>
      </x:c>
      <x:c r="AX99" s="22" t="n">
        <x:f>MAX(0,AW99*IF(C99="QB",0.68,IF(C99="RB",0.58,IF(C99="WR",0.52,IF(C99="TE",0.50,IF(C99="K",0.55,0.40))))))</x:f>
        <x:v>3.3756</x:v>
      </x:c>
      <x:c r="AY99" s="22" t="n">
        <x:f>AW99*IF(C99="QB",1.32,IF(C99="RB",1.45,IF(C99="WR",1.55,IF(C99="TE",1.60,IF(C99="K",1.45,1.65)))))</x:f>
        <x:v>8.439</x:v>
      </x:c>
      <x:c r="AZ99" s="12" t="str">
        <x:v>Low</x:v>
      </x:c>
      <x:c r="BA99" s="12" t="n">
        <x:v>7</x:v>
      </x:c>
      <x:c r="BB99" s="12" t="n">
        <x:f>COUNTIFS($C$2:$C$344,C99,$AW$2:$AW$344,"&gt;"&amp;AW99,$G$2:$G$344,"&gt;0")+COUNTIFS($C$2:C99,C99,$AW$2:AW99,AW99,$G$2:G99,"&gt;0")</x:f>
        <x:v>47</x:v>
      </x:c>
      <x:c r="BC99" s="12" t="n">
        <x:v>59</x:v>
      </x:c>
      <x:c r="BD99" s="12" t="str">
        <x:f>IF(BB99&lt;BC99,"↑",IF(BB99&gt;BC99,"↓","→"))</x:f>
        <x:v>↑</x:v>
      </x:c>
      <x:c r="BE99" s="23" t="str">
        <x:v>https://static.clubs.nfl.com/image/upload/packers/zu3fdftopjkj8hkcwckc</x:v>
      </x:c>
      <x:c r="BF99" s="23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BG99" s="23" t="str">
        <x:v>Next official practice report and game-status designation</x:v>
      </x:c>
      <x:c r="BH99" s="24" t="str">
        <x:v>2026-09-24 7:40 PM CT</x:v>
      </x:c>
    </x:row>
    <x:row r="100">
      <x:c r="A100" s="12" t="str">
        <x:v>Seth McGowan</x:v>
      </x:c>
      <x:c r="B100" s="12" t="str">
        <x:v>IND</x:v>
      </x:c>
      <x:c r="C100" s="12" t="str">
        <x:v>RB</x:v>
      </x:c>
      <x:c r="D100" s="12" t="str">
        <x:v>HOU</x:v>
      </x:c>
      <x:c r="E100" s="12" t="str">
        <x:v>Home</x:v>
      </x:c>
      <x:c r="F100" s="12" t="str">
        <x:v>2026-09-27</x:v>
      </x:c>
      <x:c r="G100" s="19" t="n">
        <x:v>1</x:v>
      </x:c>
      <x:c r="H100" s="20" t="str">
        <x:v>ACTIVE</x:v>
      </x:c>
      <x:c r="I100" s="20" t="n">
        <x:v>36</x:v>
      </x:c>
      <x:c r="J100" s="20" t="str">
        <x:v>Opportunities</x:v>
      </x:c>
      <x:c r="K100" s="20" t="n">
        <x:v>5.076923076923077</x:v>
      </x:c>
      <x:c r="L100" s="21" t="n">
        <x:v>0</x:v>
      </x:c>
      <x:c r="M100" s="21" t="n">
        <x:v>0</x:v>
      </x:c>
      <x:c r="N100" s="21" t="n">
        <x:v>0</x:v>
      </x:c>
      <x:c r="O100" s="21" t="n">
        <x:v>0</x:v>
      </x:c>
      <x:c r="P100" s="21" t="n">
        <x:v>0</x:v>
      </x:c>
      <x:c r="Q100" s="21" t="n">
        <x:v>0</x:v>
      </x:c>
      <x:c r="R100" s="21" t="n">
        <x:v>0</x:v>
      </x:c>
      <x:c r="S100" s="21" t="n">
        <x:v>0</x:v>
      </x:c>
      <x:c r="T100" s="21" t="n">
        <x:v>4</x:v>
      </x:c>
      <x:c r="U100" s="21" t="n">
        <x:v>17.13230769230769</x:v>
      </x:c>
      <x:c r="V100" s="21" t="n">
        <x:v>0.11815384615384615</x:v>
      </x:c>
      <x:c r="W100" s="21" t="n">
        <x:v>1.076923076923077</x:v>
      </x:c>
      <x:c r="X100" s="21" t="n">
        <x:v>0.8307692307692308</x:v>
      </x:c>
      <x:c r="Y100" s="21" t="n">
        <x:v>6.498461538461539</x:v>
      </x:c>
      <x:c r="Z100" s="21" t="n">
        <x:v>0.029538461538461538</x:v>
      </x:c>
      <x:c r="AA100" s="21" t="n">
        <x:v>0</x:v>
      </x:c>
      <x:c r="AB100" s="21" t="n">
        <x:v>0</x:v>
      </x:c>
      <x:c r="AC100" s="21" t="n">
        <x:v>0</x:v>
      </x:c>
      <x:c r="AD100" s="21" t="n">
        <x:v>0</x:v>
      </x:c>
      <x:c r="AE100" s="21" t="n">
        <x:v>0</x:v>
      </x:c>
      <x:c r="AF100" s="21" t="n">
        <x:v>0</x:v>
      </x:c>
      <x:c r="AG100" s="21" t="n">
        <x:v>0</x:v>
      </x:c>
      <x:c r="AH100" s="21" t="n">
        <x:v>0</x:v>
      </x:c>
      <x:c r="AI100" s="21" t="n">
        <x:v>0</x:v>
      </x:c>
      <x:c r="AJ100" s="21" t="n">
        <x:v>0</x:v>
      </x:c>
      <x:c r="AK100" s="21" t="n">
        <x:v>0</x:v>
      </x:c>
      <x:c r="AL100" s="21" t="n">
        <x:v>0</x:v>
      </x:c>
      <x:c r="AM100" s="21" t="n">
        <x:v>1</x:v>
      </x:c>
      <x:c r="AN100" s="21" t="n">
        <x:v>1</x:v>
      </x:c>
      <x:c r="AO100" s="21" t="n">
        <x:v>1</x:v>
      </x:c>
      <x:c r="AP100" s="21" t="n">
        <x:v>1</x:v>
      </x:c>
      <x:c r="AQ100" s="21" t="n">
        <x:v>0.96</x:v>
      </x:c>
      <x:c r="AR100" s="21" t="n">
        <x:v>1</x:v>
      </x:c>
      <x:c r="AS100" s="21" t="n">
        <x:v>1</x:v>
      </x:c>
      <x:c r="AT100" s="21" t="n">
        <x:v>1</x:v>
      </x:c>
      <x:c r="AU100" s="21" t="n">
        <x:v>0</x:v>
      </x:c>
      <x:c r="AV100" s="22" t="n">
        <x:f>IF(C100="QB",N100*0.04+O100*4-P100*2+R100*0.1+S100*6,IF(OR(C100="RB",C100="WR",C100="TE"),U100*0.1+V100*6+R100*0.1+S100*6+X100*0.5+Y100*0.1+Z100*6,IF(C100="K",AC100*3+AD100*4+AE100*5+AF100,IF(C100="DST",AG100+AH100*2+AI100*6+AL100,0))))</x:f>
        <x:v>3.664615384615384</x:v>
      </x:c>
      <x:c r="AW100" s="22" t="n">
        <x:f>(AV100+AU100)*G100</x:f>
        <x:v>3.664615384615384</x:v>
      </x:c>
      <x:c r="AX100" s="22" t="n">
        <x:f>MAX(0,AW100*IF(C100="QB",0.68,IF(C100="RB",0.58,IF(C100="WR",0.52,IF(C100="TE",0.50,IF(C100="K",0.55,0.40))))))</x:f>
        <x:v>2.1254769230769224</x:v>
      </x:c>
      <x:c r="AY100" s="22" t="n">
        <x:f>AW100*IF(C100="QB",1.32,IF(C100="RB",1.45,IF(C100="WR",1.55,IF(C100="TE",1.60,IF(C100="K",1.45,1.65)))))</x:f>
        <x:v>5.313692307692307</x:v>
      </x:c>
      <x:c r="AZ100" s="12" t="str">
        <x:v>High</x:v>
      </x:c>
      <x:c r="BA100" s="12" t="n">
        <x:v>7</x:v>
      </x:c>
      <x:c r="BB100" s="12" t="n">
        <x:f>COUNTIFS($C$2:$C$344,C100,$AW$2:$AW$344,"&gt;"&amp;AW100,$G$2:$G$344,"&gt;0")+COUNTIFS($C$2:C100,C100,$AW$2:AW100,AW100,$G$2:G100,"&gt;0")</x:f>
        <x:v>63</x:v>
      </x:c>
      <x:c r="BC100" s="12" t="n">
        <x:v>62</x:v>
      </x:c>
      <x:c r="BD100" s="12" t="str">
        <x:f>IF(BB100&lt;BC100,"↑",IF(BB100&gt;BC100,"↓","→"))</x:f>
        <x:v>↓</x:v>
      </x:c>
      <x:c r="BE100" s="23" t="str">
        <x:v>Fantasy Football Brief ROS baseline; official NFL schedule</x:v>
      </x:c>
      <x:c r="BF100" s="23" t="str">
        <x:v>Current role and availability baseline; all adjustment factors shown numerically</x:v>
      </x:c>
      <x:c r="BG100" s="23" t="str">
        <x:v>Material injury, depth-chart, or role change</x:v>
      </x:c>
      <x:c r="BH100" s="24" t="str">
        <x:v>2026-09-23 10:35 CT</x:v>
      </x:c>
    </x:row>
    <x:row r="101">
      <x:c r="A101" s="12" t="str">
        <x:v>Jordan James</x:v>
      </x:c>
      <x:c r="B101" s="12" t="str">
        <x:v>SF</x:v>
      </x:c>
      <x:c r="C101" s="12" t="str">
        <x:v>RB</x:v>
      </x:c>
      <x:c r="D101" s="12" t="str">
        <x:v>ARI</x:v>
      </x:c>
      <x:c r="E101" s="12" t="str">
        <x:v>Home</x:v>
      </x:c>
      <x:c r="F101" s="12" t="str">
        <x:v>2026-09-27</x:v>
      </x:c>
      <x:c r="G101" s="19" t="n">
        <x:v>1</x:v>
      </x:c>
      <x:c r="H101" s="20" t="str">
        <x:v>ACTIVE</x:v>
      </x:c>
      <x:c r="I101" s="20" t="n">
        <x:v>36</x:v>
      </x:c>
      <x:c r="J101" s="20" t="str">
        <x:v>Opportunities</x:v>
      </x:c>
      <x:c r="K101" s="20" t="n">
        <x:v>4.408906882591093</x:v>
      </x:c>
      <x:c r="L101" s="21" t="n">
        <x:v>0</x:v>
      </x:c>
      <x:c r="M101" s="21" t="n">
        <x:v>0</x:v>
      </x:c>
      <x:c r="N101" s="21" t="n">
        <x:v>0</x:v>
      </x:c>
      <x:c r="O101" s="21" t="n">
        <x:v>0</x:v>
      </x:c>
      <x:c r="P101" s="21" t="n">
        <x:v>0</x:v>
      </x:c>
      <x:c r="Q101" s="21" t="n">
        <x:v>0</x:v>
      </x:c>
      <x:c r="R101" s="21" t="n">
        <x:v>0</x:v>
      </x:c>
      <x:c r="S101" s="21" t="n">
        <x:v>0</x:v>
      </x:c>
      <x:c r="T101" s="21" t="n">
        <x:v>3.4736842105263155</x:v>
      </x:c>
      <x:c r="U101" s="21" t="n">
        <x:v>15.807935222672063</x:v>
      </x:c>
      <x:c r="V101" s="21" t="n">
        <x:v>0.10902024291497975</x:v>
      </x:c>
      <x:c r="W101" s="21" t="n">
        <x:v>0.9352226720647772</x:v>
      </x:c>
      <x:c r="X101" s="21" t="n">
        <x:v>0.7214574898785425</x:v>
      </x:c>
      <x:c r="Y101" s="21" t="n">
        <x:v>5.996113360323886</x:v>
      </x:c>
      <x:c r="Z101" s="21" t="n">
        <x:v>0.027255060728744937</x:v>
      </x:c>
      <x:c r="AA101" s="21" t="n">
        <x:v>0</x:v>
      </x:c>
      <x:c r="AB101" s="21" t="n">
        <x:v>0</x:v>
      </x:c>
      <x:c r="AC101" s="21" t="n">
        <x:v>0</x:v>
      </x:c>
      <x:c r="AD101" s="21" t="n">
        <x:v>0</x:v>
      </x:c>
      <x:c r="AE101" s="21" t="n">
        <x:v>0</x:v>
      </x:c>
      <x:c r="AF101" s="21" t="n">
        <x:v>0</x:v>
      </x:c>
      <x:c r="AG101" s="21" t="n">
        <x:v>0</x:v>
      </x:c>
      <x:c r="AH101" s="21" t="n">
        <x:v>0</x:v>
      </x:c>
      <x:c r="AI101" s="21" t="n">
        <x:v>0</x:v>
      </x:c>
      <x:c r="AJ101" s="21" t="n">
        <x:v>0</x:v>
      </x:c>
      <x:c r="AK101" s="21" t="n">
        <x:v>0</x:v>
      </x:c>
      <x:c r="AL101" s="21" t="n">
        <x:v>0</x:v>
      </x:c>
      <x:c r="AM101" s="21" t="n">
        <x:v>1</x:v>
      </x:c>
      <x:c r="AN101" s="21" t="n">
        <x:v>1</x:v>
      </x:c>
      <x:c r="AO101" s="21" t="n">
        <x:v>1</x:v>
      </x:c>
      <x:c r="AP101" s="21" t="n">
        <x:v>1.02</x:v>
      </x:c>
      <x:c r="AQ101" s="21" t="n">
        <x:v>1</x:v>
      </x:c>
      <x:c r="AR101" s="21" t="n">
        <x:v>1</x:v>
      </x:c>
      <x:c r="AS101" s="21" t="n">
        <x:v>1</x:v>
      </x:c>
      <x:c r="AT101" s="21" t="n">
        <x:v>1</x:v>
      </x:c>
      <x:c r="AU101" s="21" t="n">
        <x:v>0</x:v>
      </x:c>
      <x:c r="AV101" s="22" t="n">
        <x:f>IF(C101="QB",N101*0.04+O101*4-P101*2+R101*0.1+S101*6,IF(OR(C101="RB",C101="WR",C101="TE"),U101*0.1+V101*6+R101*0.1+S101*6+X101*0.5+Y101*0.1+Z101*6,IF(C101="K",AC101*3+AD101*4+AE101*5+AF101,IF(C101="DST",AG101+AH101*2+AI101*6+AL101,0))))</x:f>
        <x:v>3.358785425101214</x:v>
      </x:c>
      <x:c r="AW101" s="22" t="n">
        <x:f>(AV101+AU101)*G101</x:f>
        <x:v>3.358785425101214</x:v>
      </x:c>
      <x:c r="AX101" s="22" t="n">
        <x:f>MAX(0,AW101*IF(C101="QB",0.68,IF(C101="RB",0.58,IF(C101="WR",0.52,IF(C101="TE",0.50,IF(C101="K",0.55,0.40))))))</x:f>
        <x:v>1.948095546558704</x:v>
      </x:c>
      <x:c r="AY101" s="22" t="n">
        <x:f>AW101*IF(C101="QB",1.32,IF(C101="RB",1.45,IF(C101="WR",1.55,IF(C101="TE",1.60,IF(C101="K",1.45,1.65)))))</x:f>
        <x:v>4.87023886639676</x:v>
      </x:c>
      <x:c r="AZ101" s="12" t="str">
        <x:v>High</x:v>
      </x:c>
      <x:c r="BA101" s="12" t="n">
        <x:v>7</x:v>
      </x:c>
      <x:c r="BB101" s="12" t="n">
        <x:f>COUNTIFS($C$2:$C$344,C101,$AW$2:$AW$344,"&gt;"&amp;AW101,$G$2:$G$344,"&gt;0")+COUNTIFS($C$2:C101,C101,$AW$2:AW101,AW101,$G$2:G101,"&gt;0")</x:f>
        <x:v>64</x:v>
      </x:c>
      <x:c r="BC101" s="12" t="n">
        <x:v>63</x:v>
      </x:c>
      <x:c r="BD101" s="12" t="str">
        <x:f>IF(BB101&lt;BC101,"↑",IF(BB101&gt;BC101,"↓","→"))</x:f>
        <x:v>↓</x:v>
      </x:c>
      <x:c r="BE101" s="23" t="str">
        <x:v>Fantasy Football Brief ROS baseline; official NFL schedule</x:v>
      </x:c>
      <x:c r="BF101" s="23" t="str">
        <x:v>Current role and availability baseline; all adjustment factors shown numerically</x:v>
      </x:c>
      <x:c r="BG101" s="23" t="str">
        <x:v>Material injury, depth-chart, or role change</x:v>
      </x:c>
      <x:c r="BH101" s="24" t="str">
        <x:v>2026-09-23 10:35 CT</x:v>
      </x:c>
    </x:row>
    <x:row r="102">
      <x:c r="A102" s="12" t="str">
        <x:v>Sean Tucker</x:v>
      </x:c>
      <x:c r="B102" s="12" t="str">
        <x:v>TB</x:v>
      </x:c>
      <x:c r="C102" s="12" t="str">
        <x:v>RB</x:v>
      </x:c>
      <x:c r="D102" s="12" t="str">
        <x:v>MIN</x:v>
      </x:c>
      <x:c r="E102" s="12" t="str">
        <x:v>Home</x:v>
      </x:c>
      <x:c r="F102" s="12" t="str">
        <x:v>2026-09-27</x:v>
      </x:c>
      <x:c r="G102" s="19" t="n">
        <x:v>1</x:v>
      </x:c>
      <x:c r="H102" s="20" t="str">
        <x:v>ACTIVE</x:v>
      </x:c>
      <x:c r="I102" s="20" t="n">
        <x:v>36</x:v>
      </x:c>
      <x:c r="J102" s="20" t="str">
        <x:v>Opportunities</x:v>
      </x:c>
      <x:c r="K102" s="20" t="n">
        <x:v>4.275303643724696</x:v>
      </x:c>
      <x:c r="L102" s="21" t="n">
        <x:v>0</x:v>
      </x:c>
      <x:c r="M102" s="21" t="n">
        <x:v>0</x:v>
      </x:c>
      <x:c r="N102" s="21" t="n">
        <x:v>0</x:v>
      </x:c>
      <x:c r="O102" s="21" t="n">
        <x:v>0</x:v>
      </x:c>
      <x:c r="P102" s="21" t="n">
        <x:v>0</x:v>
      </x:c>
      <x:c r="Q102" s="21" t="n">
        <x:v>0</x:v>
      </x:c>
      <x:c r="R102" s="21" t="n">
        <x:v>0</x:v>
      </x:c>
      <x:c r="S102" s="21" t="n">
        <x:v>0</x:v>
      </x:c>
      <x:c r="T102" s="21" t="n">
        <x:v>3.3684210526315788</x:v>
      </x:c>
      <x:c r="U102" s="21" t="n">
        <x:v>15.026837246963563</x:v>
      </x:c>
      <x:c r="V102" s="21" t="n">
        <x:v>0.10363336032388665</x:v>
      </x:c>
      <x:c r="W102" s="21" t="n">
        <x:v>0.9068825910931174</x:v>
      </x:c>
      <x:c r="X102" s="21" t="n">
        <x:v>0.6995951417004049</x:v>
      </x:c>
      <x:c r="Y102" s="21" t="n">
        <x:v>5.699834817813766</x:v>
      </x:c>
      <x:c r="Z102" s="21" t="n">
        <x:v>0.025908340080971662</x:v>
      </x:c>
      <x:c r="AA102" s="21" t="n">
        <x:v>0</x:v>
      </x:c>
      <x:c r="AB102" s="21" t="n">
        <x:v>0</x:v>
      </x:c>
      <x:c r="AC102" s="21" t="n">
        <x:v>0</x:v>
      </x:c>
      <x:c r="AD102" s="21" t="n">
        <x:v>0</x:v>
      </x:c>
      <x:c r="AE102" s="21" t="n">
        <x:v>0</x:v>
      </x:c>
      <x:c r="AF102" s="21" t="n">
        <x:v>0</x:v>
      </x:c>
      <x:c r="AG102" s="21" t="n">
        <x:v>0</x:v>
      </x:c>
      <x:c r="AH102" s="21" t="n">
        <x:v>0</x:v>
      </x:c>
      <x:c r="AI102" s="21" t="n">
        <x:v>0</x:v>
      </x:c>
      <x:c r="AJ102" s="21" t="n">
        <x:v>0</x:v>
      </x:c>
      <x:c r="AK102" s="21" t="n">
        <x:v>0</x:v>
      </x:c>
      <x:c r="AL102" s="21" t="n">
        <x:v>0</x:v>
      </x:c>
      <x:c r="AM102" s="21" t="n">
        <x:v>1</x:v>
      </x:c>
      <x:c r="AN102" s="21" t="n">
        <x:v>1</x:v>
      </x:c>
      <x:c r="AO102" s="21" t="n">
        <x:v>1</x:v>
      </x:c>
      <x:c r="AP102" s="21" t="n">
        <x:v>1.01</x:v>
      </x:c>
      <x:c r="AQ102" s="21" t="n">
        <x:v>0.99</x:v>
      </x:c>
      <x:c r="AR102" s="21" t="n">
        <x:v>1</x:v>
      </x:c>
      <x:c r="AS102" s="21" t="n">
        <x:v>1</x:v>
      </x:c>
      <x:c r="AT102" s="21" t="n">
        <x:v>1</x:v>
      </x:c>
      <x:c r="AU102" s="21" t="n">
        <x:v>0</x:v>
      </x:c>
      <x:c r="AV102" s="22" t="n">
        <x:f>IF(C102="QB",N102*0.04+O102*4-P102*2+R102*0.1+S102*6,IF(OR(C102="RB",C102="WR",C102="TE"),U102*0.1+V102*6+R102*0.1+S102*6+X102*0.5+Y102*0.1+Z102*6,IF(C102="K",AC102*3+AD102*4+AE102*5+AF102,IF(C102="DST",AG102+AH102*2+AI102*6+AL102,0))))</x:f>
        <x:v>3.1997149797570854</x:v>
      </x:c>
      <x:c r="AW102" s="22" t="n">
        <x:f>(AV102+AU102)*G102</x:f>
        <x:v>3.1997149797570854</x:v>
      </x:c>
      <x:c r="AX102" s="22" t="n">
        <x:f>MAX(0,AW102*IF(C102="QB",0.68,IF(C102="RB",0.58,IF(C102="WR",0.52,IF(C102="TE",0.50,IF(C102="K",0.55,0.40))))))</x:f>
        <x:v>1.8558346882591095</x:v>
      </x:c>
      <x:c r="AY102" s="22" t="n">
        <x:f>AW102*IF(C102="QB",1.32,IF(C102="RB",1.45,IF(C102="WR",1.55,IF(C102="TE",1.60,IF(C102="K",1.45,1.65)))))</x:f>
        <x:v>4.639586720647774</x:v>
      </x:c>
      <x:c r="AZ102" s="12" t="str">
        <x:v>High</x:v>
      </x:c>
      <x:c r="BA102" s="12" t="n">
        <x:v>7</x:v>
      </x:c>
      <x:c r="BB102" s="12" t="n">
        <x:f>COUNTIFS($C$2:$C$344,C102,$AW$2:$AW$344,"&gt;"&amp;AW102,$G$2:$G$344,"&gt;0")+COUNTIFS($C$2:C102,C102,$AW$2:AW102,AW102,$G$2:G102,"&gt;0")</x:f>
        <x:v>65</x:v>
      </x:c>
      <x:c r="BC102" s="12" t="n">
        <x:v>65</x:v>
      </x:c>
      <x:c r="BD102" s="12" t="str">
        <x:f>IF(BB102&lt;BC102,"↑",IF(BB102&gt;BC102,"↓","→"))</x:f>
        <x:v>→</x:v>
      </x:c>
      <x:c r="BE102" s="23" t="str">
        <x:v>Fantasy Football Brief ROS baseline; official NFL schedule</x:v>
      </x:c>
      <x:c r="BF102" s="23" t="str">
        <x:v>Current role and availability baseline; all adjustment factors shown numerically</x:v>
      </x:c>
      <x:c r="BG102" s="23" t="str">
        <x:v>Material injury, depth-chart, or role change</x:v>
      </x:c>
      <x:c r="BH102" s="24" t="str">
        <x:v>2026-09-23 10:35 CT</x:v>
      </x:c>
    </x:row>
    <x:row r="103">
      <x:c r="A103" s="12" t="str">
        <x:v>James Conner</x:v>
      </x:c>
      <x:c r="B103" s="12" t="str">
        <x:v>ARI</x:v>
      </x:c>
      <x:c r="C103" s="12" t="str">
        <x:v>RB</x:v>
      </x:c>
      <x:c r="D103" s="12" t="str">
        <x:v>SF</x:v>
      </x:c>
      <x:c r="E103" s="12" t="str">
        <x:v>Away</x:v>
      </x:c>
      <x:c r="F103" s="12" t="str">
        <x:v>2026-09-27</x:v>
      </x:c>
      <x:c r="G103" s="19" t="n">
        <x:v>1</x:v>
      </x:c>
      <x:c r="H103" s="20" t="str">
        <x:v>ACTIVE</x:v>
      </x:c>
      <x:c r="I103" s="20" t="n">
        <x:v>36</x:v>
      </x:c>
      <x:c r="J103" s="20" t="str">
        <x:v>Opportunities</x:v>
      </x:c>
      <x:c r="K103" s="20" t="n">
        <x:v>4.408906882591093</x:v>
      </x:c>
      <x:c r="L103" s="21" t="n">
        <x:v>0</x:v>
      </x:c>
      <x:c r="M103" s="21" t="n">
        <x:v>0</x:v>
      </x:c>
      <x:c r="N103" s="21" t="n">
        <x:v>0</x:v>
      </x:c>
      <x:c r="O103" s="21" t="n">
        <x:v>0</x:v>
      </x:c>
      <x:c r="P103" s="21" t="n">
        <x:v>0</x:v>
      </x:c>
      <x:c r="Q103" s="21" t="n">
        <x:v>0</x:v>
      </x:c>
      <x:c r="R103" s="21" t="n">
        <x:v>0</x:v>
      </x:c>
      <x:c r="S103" s="21" t="n">
        <x:v>0</x:v>
      </x:c>
      <x:c r="T103" s="21" t="n">
        <x:v>3.4736842105263155</x:v>
      </x:c>
      <x:c r="U103" s="21" t="n">
        <x:v>14.5680971659919</x:v>
      </x:c>
      <x:c r="V103" s="21" t="n">
        <x:v>0.10046963562753035</x:v>
      </x:c>
      <x:c r="W103" s="21" t="n">
        <x:v>0.9352226720647772</x:v>
      </x:c>
      <x:c r="X103" s="21" t="n">
        <x:v>0.7214574898785425</x:v>
      </x:c>
      <x:c r="Y103" s="21" t="n">
        <x:v>5.525829959514168</x:v>
      </x:c>
      <x:c r="Z103" s="21" t="n">
        <x:v>0.025117408906882587</x:v>
      </x:c>
      <x:c r="AA103" s="21" t="n">
        <x:v>0</x:v>
      </x:c>
      <x:c r="AB103" s="21" t="n">
        <x:v>0</x:v>
      </x:c>
      <x:c r="AC103" s="21" t="n">
        <x:v>0</x:v>
      </x:c>
      <x:c r="AD103" s="21" t="n">
        <x:v>0</x:v>
      </x:c>
      <x:c r="AE103" s="21" t="n">
        <x:v>0</x:v>
      </x:c>
      <x:c r="AF103" s="21" t="n">
        <x:v>0</x:v>
      </x:c>
      <x:c r="AG103" s="21" t="n">
        <x:v>0</x:v>
      </x:c>
      <x:c r="AH103" s="21" t="n">
        <x:v>0</x:v>
      </x:c>
      <x:c r="AI103" s="21" t="n">
        <x:v>0</x:v>
      </x:c>
      <x:c r="AJ103" s="21" t="n">
        <x:v>0</x:v>
      </x:c>
      <x:c r="AK103" s="21" t="n">
        <x:v>0</x:v>
      </x:c>
      <x:c r="AL103" s="21" t="n">
        <x:v>0</x:v>
      </x:c>
      <x:c r="AM103" s="21" t="n">
        <x:v>1</x:v>
      </x:c>
      <x:c r="AN103" s="21" t="n">
        <x:v>1</x:v>
      </x:c>
      <x:c r="AO103" s="21" t="n">
        <x:v>1</x:v>
      </x:c>
      <x:c r="AP103" s="21" t="n">
        <x:v>1</x:v>
      </x:c>
      <x:c r="AQ103" s="21" t="n">
        <x:v>0.94</x:v>
      </x:c>
      <x:c r="AR103" s="21" t="n">
        <x:v>1</x:v>
      </x:c>
      <x:c r="AS103" s="21" t="n">
        <x:v>1</x:v>
      </x:c>
      <x:c r="AT103" s="21" t="n">
        <x:v>1</x:v>
      </x:c>
      <x:c r="AU103" s="21" t="n">
        <x:v>0</x:v>
      </x:c>
      <x:c r="AV103" s="22" t="n">
        <x:f>IF(C103="QB",N103*0.04+O103*4-P103*2+R103*0.1+S103*6,IF(OR(C103="RB",C103="WR",C103="TE"),U103*0.1+V103*6+R103*0.1+S103*6+X103*0.5+Y103*0.1+Z103*6,IF(C103="K",AC103*3+AD103*4+AE103*5+AF103,IF(C103="DST",AG103+AH103*2+AI103*6+AL103,0))))</x:f>
        <x:v>3.1236437246963553</x:v>
      </x:c>
      <x:c r="AW103" s="22" t="n">
        <x:f>(AV103+AU103)*G103</x:f>
        <x:v>3.1236437246963553</x:v>
      </x:c>
      <x:c r="AX103" s="22" t="n">
        <x:f>MAX(0,AW103*IF(C103="QB",0.68,IF(C103="RB",0.58,IF(C103="WR",0.52,IF(C103="TE",0.50,IF(C103="K",0.55,0.40))))))</x:f>
        <x:v>1.811713360323886</x:v>
      </x:c>
      <x:c r="AY103" s="22" t="n">
        <x:f>AW103*IF(C103="QB",1.32,IF(C103="RB",1.45,IF(C103="WR",1.55,IF(C103="TE",1.60,IF(C103="K",1.45,1.65)))))</x:f>
        <x:v>4.529283400809715</x:v>
      </x:c>
      <x:c r="AZ103" s="12" t="str">
        <x:v>High</x:v>
      </x:c>
      <x:c r="BA103" s="12" t="n">
        <x:v>7</x:v>
      </x:c>
      <x:c r="BB103" s="12" t="n">
        <x:f>COUNTIFS($C$2:$C$344,C103,$AW$2:$AW$344,"&gt;"&amp;AW103,$G$2:$G$344,"&gt;0")+COUNTIFS($C$2:C103,C103,$AW$2:AW103,AW103,$G$2:G103,"&gt;0")</x:f>
        <x:v>66</x:v>
      </x:c>
      <x:c r="BC103" s="12" t="n">
        <x:v>66</x:v>
      </x:c>
      <x:c r="BD103" s="12" t="str">
        <x:f>IF(BB103&lt;BC103,"↑",IF(BB103&gt;BC103,"↓","→"))</x:f>
        <x:v>→</x:v>
      </x:c>
      <x:c r="BE103" s="23" t="str">
        <x:v>Fantasy Football Brief ROS baseline; official NFL schedule</x:v>
      </x:c>
      <x:c r="BF103" s="23" t="str">
        <x:v>Current role and availability baseline; all adjustment factors shown numerically</x:v>
      </x:c>
      <x:c r="BG103" s="23" t="str">
        <x:v>Material injury, depth-chart, or role change</x:v>
      </x:c>
      <x:c r="BH103" s="24" t="str">
        <x:v>2026-09-23 10:35 CT</x:v>
      </x:c>
    </x:row>
    <x:row r="104">
      <x:c r="A104" s="12" t="str">
        <x:v>Chris Brooks</x:v>
      </x:c>
      <x:c r="B104" s="12" t="str">
        <x:v>GB</x:v>
      </x:c>
      <x:c r="C104" s="12" t="str">
        <x:v>RB</x:v>
      </x:c>
      <x:c r="D104" s="12" t="str">
        <x:v>ATL</x:v>
      </x:c>
      <x:c r="E104" s="12" t="str">
        <x:v>Home</x:v>
      </x:c>
      <x:c r="F104" s="12" t="str">
        <x:v>2026-09-24</x:v>
      </x:c>
      <x:c r="G104" s="19" t="n">
        <x:v>1</x:v>
      </x:c>
      <x:c r="H104" s="20" t="str">
        <x:v>ACTIVE</x:v>
      </x:c>
      <x:c r="I104" s="20" t="n">
        <x:v>27</x:v>
      </x:c>
      <x:c r="J104" s="20" t="str">
        <x:v>Carries + targets</x:v>
      </x:c>
      <x:c r="K104" s="20" t="n">
        <x:v>5.5</x:v>
      </x:c>
      <x:c r="L104" s="21" t="n">
        <x:v>0</x:v>
      </x:c>
      <x:c r="M104" s="21" t="n">
        <x:v>0</x:v>
      </x:c>
      <x:c r="N104" s="21" t="n">
        <x:v>0</x:v>
      </x:c>
      <x:c r="O104" s="21" t="n">
        <x:v>0</x:v>
      </x:c>
      <x:c r="P104" s="21" t="n">
        <x:v>0</x:v>
      </x:c>
      <x:c r="Q104" s="21" t="n">
        <x:v>0</x:v>
      </x:c>
      <x:c r="R104" s="21" t="n">
        <x:v>0</x:v>
      </x:c>
      <x:c r="S104" s="21" t="n">
        <x:v>0</x:v>
      </x:c>
      <x:c r="T104" s="21" t="n">
        <x:v>4</x:v>
      </x:c>
      <x:c r="U104" s="21" t="n">
        <x:v>17</x:v>
      </x:c>
      <x:c r="V104" s="21" t="n">
        <x:v>0.05</x:v>
      </x:c>
      <x:c r="W104" s="21" t="n">
        <x:v>1.5</x:v>
      </x:c>
      <x:c r="X104" s="21" t="n">
        <x:v>1.3</x:v>
      </x:c>
      <x:c r="Y104" s="21" t="n">
        <x:v>10</x:v>
      </x:c>
      <x:c r="Z104" s="21" t="n">
        <x:v>0.035</x:v>
      </x:c>
      <x:c r="AA104" s="21" t="n">
        <x:v>14</x:v>
      </x:c>
      <x:c r="AB104" s="21" t="n">
        <x:v>0.4117647058823529</x:v>
      </x:c>
      <x:c r="AC104" s="21" t="n">
        <x:v>0</x:v>
      </x:c>
      <x:c r="AD104" s="21" t="n">
        <x:v>0</x:v>
      </x:c>
      <x:c r="AE104" s="21" t="n">
        <x:v>0</x:v>
      </x:c>
      <x:c r="AF104" s="21" t="n">
        <x:v>0</x:v>
      </x:c>
      <x:c r="AG104" s="21" t="n">
        <x:v>0</x:v>
      </x:c>
      <x:c r="AH104" s="21" t="n">
        <x:v>0</x:v>
      </x:c>
      <x:c r="AI104" s="21" t="n">
        <x:v>0</x:v>
      </x:c>
      <x:c r="AJ104" s="21" t="n">
        <x:v>0</x:v>
      </x:c>
      <x:c r="AK104" s="21" t="n">
        <x:v>0</x:v>
      </x:c>
      <x:c r="AL104" s="21" t="n">
        <x:v>0</x:v>
      </x:c>
      <x:c r="AM104" s="21" t="n">
        <x:v>1</x:v>
      </x:c>
      <x:c r="AN104" s="21" t="n">
        <x:v>1</x:v>
      </x:c>
      <x:c r="AO104" s="21" t="n">
        <x:v>1</x:v>
      </x:c>
      <x:c r="AP104" s="21" t="n">
        <x:v>1.02</x:v>
      </x:c>
      <x:c r="AQ104" s="21" t="n">
        <x:v>1.01</x:v>
      </x:c>
      <x:c r="AR104" s="21" t="n">
        <x:v>1</x:v>
      </x:c>
      <x:c r="AS104" s="21" t="n">
        <x:v>1</x:v>
      </x:c>
      <x:c r="AT104" s="21" t="n">
        <x:v>1</x:v>
      </x:c>
      <x:c r="AU104" s="21" t="n">
        <x:v>0</x:v>
      </x:c>
      <x:c r="AV104" s="22" t="n">
        <x:f>IF(C104="QB",N104*0.04+O104*4-P104*2+R104*0.1+S104*6,IF(OR(C104="RB",C104="WR",C104="TE"),U104*0.1+V104*6+R104*0.1+S104*6+X104*0.5+Y104*0.1+Z104*6,IF(C104="K",AC104*3+AD104*4+AE104*5+AF104,IF(C104="DST",AG104+AH104*2+AI104*6+AL104,0))))</x:f>
        <x:v>3.86</x:v>
      </x:c>
      <x:c r="AW104" s="22" t="n">
        <x:f>(AV104+AU104)*G104</x:f>
        <x:v>3.86</x:v>
      </x:c>
      <x:c r="AX104" s="22" t="n">
        <x:f>MAX(0,AW104*IF(C104="QB",0.68,IF(C104="RB",0.58,IF(C104="WR",0.52,IF(C104="TE",0.50,IF(C104="K",0.55,0.40))))))</x:f>
        <x:v>2.2388</x:v>
      </x:c>
      <x:c r="AY104" s="22" t="n">
        <x:f>AW104*IF(C104="QB",1.32,IF(C104="RB",1.45,IF(C104="WR",1.55,IF(C104="TE",1.60,IF(C104="K",1.45,1.65)))))</x:f>
        <x:v>5.5969999999999995</x:v>
      </x:c>
      <x:c r="AZ104" s="12" t="str">
        <x:v>Low</x:v>
      </x:c>
      <x:c r="BA104" s="12" t="n">
        <x:v>7</x:v>
      </x:c>
      <x:c r="BB104" s="12" t="n">
        <x:f>COUNTIFS($C$2:$C$344,C104,$AW$2:$AW$344,"&gt;"&amp;AW104,$G$2:$G$344,"&gt;0")+COUNTIFS($C$2:C104,C104,$AW$2:AW104,AW104,$G$2:G104,"&gt;0")</x:f>
        <x:v>61</x:v>
      </x:c>
      <x:c r="BC104" s="12" t="n">
        <x:v>64</x:v>
      </x:c>
      <x:c r="BD104" s="12" t="str">
        <x:f>IF(BB104&lt;BC104,"↑",IF(BB104&gt;BC104,"↓","→"))</x:f>
        <x:v>↑</x:v>
      </x:c>
      <x:c r="BE104" s="23" t="str">
        <x:v>https://static.clubs.nfl.com/image/upload/packers/zu3fdftopjkj8hkcwckc</x:v>
      </x:c>
      <x:c r="BF104" s="23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BG104" s="23" t="str">
        <x:v>Next official practice report and game-status designation</x:v>
      </x:c>
      <x:c r="BH104" s="24" t="str">
        <x:v>2026-09-24 7:40 PM CT</x:v>
      </x:c>
    </x:row>
    <x:row r="105">
      <x:c r="A105" s="12" t="str">
        <x:v>Demond Claiborne</x:v>
      </x:c>
      <x:c r="B105" s="12" t="str">
        <x:v>MIN</x:v>
      </x:c>
      <x:c r="C105" s="12" t="str">
        <x:v>RB</x:v>
      </x:c>
      <x:c r="D105" s="12" t="str">
        <x:v>TB</x:v>
      </x:c>
      <x:c r="E105" s="12" t="str">
        <x:v>Away</x:v>
      </x:c>
      <x:c r="F105" s="12" t="str">
        <x:v>2026-09-27</x:v>
      </x:c>
      <x:c r="G105" s="19" t="n">
        <x:v>1</x:v>
      </x:c>
      <x:c r="H105" s="20" t="str">
        <x:v>ACTIVE</x:v>
      </x:c>
      <x:c r="I105" s="20" t="n">
        <x:v>36</x:v>
      </x:c>
      <x:c r="J105" s="20" t="str">
        <x:v>Opportunities</x:v>
      </x:c>
      <x:c r="K105" s="20" t="n">
        <x:v>4.1417004048583</x:v>
      </x:c>
      <x:c r="L105" s="21" t="n">
        <x:v>0</x:v>
      </x:c>
      <x:c r="M105" s="21" t="n">
        <x:v>0</x:v>
      </x:c>
      <x:c r="N105" s="21" t="n">
        <x:v>0</x:v>
      </x:c>
      <x:c r="O105" s="21" t="n">
        <x:v>0</x:v>
      </x:c>
      <x:c r="P105" s="21" t="n">
        <x:v>0</x:v>
      </x:c>
      <x:c r="Q105" s="21" t="n">
        <x:v>0</x:v>
      </x:c>
      <x:c r="R105" s="21" t="n">
        <x:v>0</x:v>
      </x:c>
      <x:c r="S105" s="21" t="n">
        <x:v>0</x:v>
      </x:c>
      <x:c r="T105" s="21" t="n">
        <x:v>3.2631578947368425</x:v>
      </x:c>
      <x:c r="U105" s="21" t="n">
        <x:v>14.413117408906885</x:v>
      </x:c>
      <x:c r="V105" s="21" t="n">
        <x:v>0.09940080971659922</x:v>
      </x:c>
      <x:c r="W105" s="21" t="n">
        <x:v>0.8785425101214577</x:v>
      </x:c>
      <x:c r="X105" s="21" t="n">
        <x:v>0.6777327935222673</x:v>
      </x:c>
      <x:c r="Y105" s="21" t="n">
        <x:v>5.467044534412956</x:v>
      </x:c>
      <x:c r="Z105" s="21" t="n">
        <x:v>0.024850202429149804</x:v>
      </x:c>
      <x:c r="AA105" s="21" t="n">
        <x:v>0</x:v>
      </x:c>
      <x:c r="AB105" s="21" t="n">
        <x:v>0</x:v>
      </x:c>
      <x:c r="AC105" s="21" t="n">
        <x:v>0</x:v>
      </x:c>
      <x:c r="AD105" s="21" t="n">
        <x:v>0</x:v>
      </x:c>
      <x:c r="AE105" s="21" t="n">
        <x:v>0</x:v>
      </x:c>
      <x:c r="AF105" s="21" t="n">
        <x:v>0</x:v>
      </x:c>
      <x:c r="AG105" s="21" t="n">
        <x:v>0</x:v>
      </x:c>
      <x:c r="AH105" s="21" t="n">
        <x:v>0</x:v>
      </x:c>
      <x:c r="AI105" s="21" t="n">
        <x:v>0</x:v>
      </x:c>
      <x:c r="AJ105" s="21" t="n">
        <x:v>0</x:v>
      </x:c>
      <x:c r="AK105" s="21" t="n">
        <x:v>0</x:v>
      </x:c>
      <x:c r="AL105" s="21" t="n">
        <x:v>0</x:v>
      </x:c>
      <x:c r="AM105" s="21" t="n">
        <x:v>1</x:v>
      </x:c>
      <x:c r="AN105" s="21" t="n">
        <x:v>1</x:v>
      </x:c>
      <x:c r="AO105" s="21" t="n">
        <x:v>1</x:v>
      </x:c>
      <x:c r="AP105" s="21" t="n">
        <x:v>0.99</x:v>
      </x:c>
      <x:c r="AQ105" s="21" t="n">
        <x:v>1</x:v>
      </x:c>
      <x:c r="AR105" s="21" t="n">
        <x:v>1</x:v>
      </x:c>
      <x:c r="AS105" s="21" t="n">
        <x:v>1</x:v>
      </x:c>
      <x:c r="AT105" s="21" t="n">
        <x:v>1</x:v>
      </x:c>
      <x:c r="AU105" s="21" t="n">
        <x:v>0</x:v>
      </x:c>
      <x:c r="AV105" s="22" t="n">
        <x:f>IF(C105="QB",N105*0.04+O105*4-P105*2+R105*0.1+S105*6,IF(OR(C105="RB",C105="WR",C105="TE"),U105*0.1+V105*6+R105*0.1+S105*6+X105*0.5+Y105*0.1+Z105*6,IF(C105="K",AC105*3+AD105*4+AE105*5+AF105,IF(C105="DST",AG105+AH105*2+AI105*6+AL105,0))))</x:f>
        <x:v>3.0723886639676117</x:v>
      </x:c>
      <x:c r="AW105" s="22" t="n">
        <x:f>(AV105+AU105)*G105</x:f>
        <x:v>3.0723886639676117</x:v>
      </x:c>
      <x:c r="AX105" s="22" t="n">
        <x:f>MAX(0,AW105*IF(C105="QB",0.68,IF(C105="RB",0.58,IF(C105="WR",0.52,IF(C105="TE",0.50,IF(C105="K",0.55,0.40))))))</x:f>
        <x:v>1.7819854251012146</x:v>
      </x:c>
      <x:c r="AY105" s="22" t="n">
        <x:f>AW105*IF(C105="QB",1.32,IF(C105="RB",1.45,IF(C105="WR",1.55,IF(C105="TE",1.60,IF(C105="K",1.45,1.65)))))</x:f>
        <x:v>4.454963562753036</x:v>
      </x:c>
      <x:c r="AZ105" s="12" t="str">
        <x:v>High</x:v>
      </x:c>
      <x:c r="BA105" s="12" t="n">
        <x:v>7</x:v>
      </x:c>
      <x:c r="BB105" s="12" t="n">
        <x:f>COUNTIFS($C$2:$C$344,C105,$AW$2:$AW$344,"&gt;"&amp;AW105,$G$2:$G$344,"&gt;0")+COUNTIFS($C$2:C105,C105,$AW$2:AW105,AW105,$G$2:G105,"&gt;0")</x:f>
        <x:v>67</x:v>
      </x:c>
      <x:c r="BC105" s="12" t="n">
        <x:v>67</x:v>
      </x:c>
      <x:c r="BD105" s="12" t="str">
        <x:f>IF(BB105&lt;BC105,"↑",IF(BB105&gt;BC105,"↓","→"))</x:f>
        <x:v>→</x:v>
      </x:c>
      <x:c r="BE105" s="23" t="str">
        <x:v>Fantasy Football Brief ROS baseline; official NFL schedule</x:v>
      </x:c>
      <x:c r="BF105" s="23" t="str">
        <x:v>Current role and availability baseline; all adjustment factors shown numerically</x:v>
      </x:c>
      <x:c r="BG105" s="23" t="str">
        <x:v>Material injury, depth-chart, or role change</x:v>
      </x:c>
      <x:c r="BH105" s="24" t="str">
        <x:v>2026-09-23 10:35 CT</x:v>
      </x:c>
    </x:row>
    <x:row r="106">
      <x:c r="A106" s="12" t="str">
        <x:v>Dylan Sampson</x:v>
      </x:c>
      <x:c r="B106" s="12" t="str">
        <x:v>CLE</x:v>
      </x:c>
      <x:c r="C106" s="12" t="str">
        <x:v>RB</x:v>
      </x:c>
      <x:c r="D106" s="12" t="str">
        <x:v>CAR</x:v>
      </x:c>
      <x:c r="E106" s="12" t="str">
        <x:v>Home</x:v>
      </x:c>
      <x:c r="F106" s="12" t="str">
        <x:v>2026-09-27</x:v>
      </x:c>
      <x:c r="G106" s="19" t="n">
        <x:v>0</x:v>
      </x:c>
      <x:c r="H106" s="20" t="str">
        <x:v>IR</x:v>
      </x:c>
      <x:c r="I106" s="20" t="n">
        <x:v>25.2</x:v>
      </x:c>
      <x:c r="J106" s="20" t="str">
        <x:v>Opportunities</x:v>
      </x:c>
      <x:c r="K106" s="20" t="n">
        <x:v>5.611336032388665</x:v>
      </x:c>
      <x:c r="L106" s="21" t="n">
        <x:v>0</x:v>
      </x:c>
      <x:c r="M106" s="21" t="n">
        <x:v>0</x:v>
      </x:c>
      <x:c r="N106" s="21" t="n">
        <x:v>0</x:v>
      </x:c>
      <x:c r="O106" s="21" t="n">
        <x:v>0</x:v>
      </x:c>
      <x:c r="P106" s="21" t="n">
        <x:v>0</x:v>
      </x:c>
      <x:c r="Q106" s="21" t="n">
        <x:v>0</x:v>
      </x:c>
      <x:c r="R106" s="21" t="n">
        <x:v>0</x:v>
      </x:c>
      <x:c r="S106" s="21" t="n">
        <x:v>0</x:v>
      </x:c>
      <x:c r="T106" s="21" t="n">
        <x:v>4.421052631578948</x:v>
      </x:c>
      <x:c r="U106" s="21" t="n">
        <x:v>20.47226234817814</x:v>
      </x:c>
      <x:c r="V106" s="21" t="n">
        <x:v>0.14118801619433202</x:v>
      </x:c>
      <x:c r="W106" s="21" t="n">
        <x:v>1.1902834008097167</x:v>
      </x:c>
      <x:c r="X106" s="21" t="n">
        <x:v>0.9182186234817815</x:v>
      </x:c>
      <x:c r="Y106" s="21" t="n">
        <x:v>7.765340890688261</x:v>
      </x:c>
      <x:c r="Z106" s="21" t="n">
        <x:v>0.035297004048583006</x:v>
      </x:c>
      <x:c r="AA106" s="21" t="n">
        <x:v>0</x:v>
      </x:c>
      <x:c r="AB106" s="21" t="n">
        <x:v>0</x:v>
      </x:c>
      <x:c r="AC106" s="21" t="n">
        <x:v>0</x:v>
      </x:c>
      <x:c r="AD106" s="21" t="n">
        <x:v>0</x:v>
      </x:c>
      <x:c r="AE106" s="21" t="n">
        <x:v>0</x:v>
      </x:c>
      <x:c r="AF106" s="21" t="n">
        <x:v>0</x:v>
      </x:c>
      <x:c r="AG106" s="21" t="n">
        <x:v>0</x:v>
      </x:c>
      <x:c r="AH106" s="21" t="n">
        <x:v>0</x:v>
      </x:c>
      <x:c r="AI106" s="21" t="n">
        <x:v>0</x:v>
      </x:c>
      <x:c r="AJ106" s="21" t="n">
        <x:v>0</x:v>
      </x:c>
      <x:c r="AK106" s="21" t="n">
        <x:v>0</x:v>
      </x:c>
      <x:c r="AL106" s="21" t="n">
        <x:v>0</x:v>
      </x:c>
      <x:c r="AM106" s="21" t="n">
        <x:v>0.7</x:v>
      </x:c>
      <x:c r="AN106" s="21" t="n">
        <x:v>1</x:v>
      </x:c>
      <x:c r="AO106" s="21" t="n">
        <x:v>1</x:v>
      </x:c>
      <x:c r="AP106" s="21" t="n">
        <x:v>0.97</x:v>
      </x:c>
      <x:c r="AQ106" s="21" t="n">
        <x:v>1.07</x:v>
      </x:c>
      <x:c r="AR106" s="21" t="n">
        <x:v>1</x:v>
      </x:c>
      <x:c r="AS106" s="21" t="n">
        <x:v>1</x:v>
      </x:c>
      <x:c r="AT106" s="21" t="n">
        <x:v>1</x:v>
      </x:c>
      <x:c r="AU106" s="21" t="n">
        <x:v>0</x:v>
      </x:c>
      <x:c r="AV106" s="22" t="n">
        <x:f>IF(C106="QB",N106*0.04+O106*4-P106*2+R106*0.1+S106*6,IF(OR(C106="RB",C106="WR",C106="TE"),U106*0.1+V106*6+R106*0.1+S106*6+X106*0.5+Y106*0.1+Z106*6,IF(C106="K",AC106*3+AD106*4+AE106*5+AF106,IF(C106="DST",AG106+AH106*2+AI106*6+AL106,0))))</x:f>
        <x:v>4.341779757085021</x:v>
      </x:c>
      <x:c r="AW106" s="22" t="n">
        <x:f>(AV106+AU106)*G106</x:f>
        <x:v>0</x:v>
      </x:c>
      <x:c r="AX106" s="22" t="n">
        <x:f>MAX(0,AW106*IF(C106="QB",0.68,IF(C106="RB",0.58,IF(C106="WR",0.52,IF(C106="TE",0.50,IF(C106="K",0.55,0.40))))))</x:f>
        <x:v>0</x:v>
      </x:c>
      <x:c r="AY106" s="22" t="n">
        <x:f>AW106*IF(C106="QB",1.32,IF(C106="RB",1.45,IF(C106="WR",1.55,IF(C106="TE",1.60,IF(C106="K",1.45,1.65)))))</x:f>
        <x:v>0</x:v>
      </x:c>
      <x:c r="AZ106" s="12" t="str">
        <x:v>High</x:v>
      </x:c>
      <x:c r="BA106" s="12" t="n">
        <x:v>7</x:v>
      </x:c>
      <x:c r="BB106" s="12"/>
      <x:c r="BC106" s="12" t="str">
        <x:v>NR</x:v>
      </x:c>
      <x:c r="BD106" s="12" t="str">
        <x:v>New</x:v>
      </x:c>
      <x:c r="BE106" s="23" t="str">
        <x:v>https://www.nbcsports.com/fantasy/football/news/2026-nfl-week-3-injury-report-jaxson-dart-mcl-chargers-down-two-tes-more-49ers-injuries</x:v>
      </x:c>
      <x:c r="BF106" s="23" t="str">
        <x:v>Cleveland placed Sampson on injured reserve; he is unavailable for Week 3. Conditional inputs remain visible for audit; expected Week 3 points are zero.</x:v>
      </x:c>
      <x:c r="BG106" s="23" t="str">
        <x:v>Official activation or new-team transaction</x:v>
      </x:c>
      <x:c r="BH106" s="24" t="str">
        <x:v>2026-09-24 1:18 PM CT</x:v>
      </x:c>
    </x:row>
    <x:row r="107">
      <x:c r="A107" s="12" t="str">
        <x:v>Emanuel Wilson</x:v>
      </x:c>
      <x:c r="B107" s="12" t="str">
        <x:v>SEA</x:v>
      </x:c>
      <x:c r="C107" s="12" t="str">
        <x:v>RB</x:v>
      </x:c>
      <x:c r="D107" s="12" t="str">
        <x:v>WAS</x:v>
      </x:c>
      <x:c r="E107" s="12" t="str">
        <x:v>Away</x:v>
      </x:c>
      <x:c r="F107" s="12" t="str">
        <x:v>2026-09-27</x:v>
      </x:c>
      <x:c r="G107" s="19" t="n">
        <x:v>1</x:v>
      </x:c>
      <x:c r="H107" s="20" t="str">
        <x:v>ACTIVE</x:v>
      </x:c>
      <x:c r="I107" s="20" t="n">
        <x:v>36</x:v>
      </x:c>
      <x:c r="J107" s="20" t="str">
        <x:v>Opportunities</x:v>
      </x:c>
      <x:c r="K107" s="20" t="n">
        <x:v>4.008097165991903</x:v>
      </x:c>
      <x:c r="L107" s="21" t="n">
        <x:v>0</x:v>
      </x:c>
      <x:c r="M107" s="21" t="n">
        <x:v>0</x:v>
      </x:c>
      <x:c r="N107" s="21" t="n">
        <x:v>0</x:v>
      </x:c>
      <x:c r="O107" s="21" t="n">
        <x:v>0</x:v>
      </x:c>
      <x:c r="P107" s="21" t="n">
        <x:v>0</x:v>
      </x:c>
      <x:c r="Q107" s="21" t="n">
        <x:v>0</x:v>
      </x:c>
      <x:c r="R107" s="21" t="n">
        <x:v>0</x:v>
      </x:c>
      <x:c r="S107" s="21" t="n">
        <x:v>0</x:v>
      </x:c>
      <x:c r="T107" s="21" t="n">
        <x:v>3.1578947368421053</x:v>
      </x:c>
      <x:c r="U107" s="21" t="n">
        <x:v>14.089068825910932</x:v>
      </x:c>
      <x:c r="V107" s="21" t="n">
        <x:v>0.09716599190283402</x:v>
      </x:c>
      <x:c r="W107" s="21" t="n">
        <x:v>0.8502024291497976</x:v>
      </x:c>
      <x:c r="X107" s="21" t="n">
        <x:v>0.6558704453441296</x:v>
      </x:c>
      <x:c r="Y107" s="21" t="n">
        <x:v>5.344129554655871</x:v>
      </x:c>
      <x:c r="Z107" s="21" t="n">
        <x:v>0.024291497975708506</x:v>
      </x:c>
      <x:c r="AA107" s="21" t="n">
        <x:v>0</x:v>
      </x:c>
      <x:c r="AB107" s="21" t="n">
        <x:v>0</x:v>
      </x:c>
      <x:c r="AC107" s="21" t="n">
        <x:v>0</x:v>
      </x:c>
      <x:c r="AD107" s="21" t="n">
        <x:v>0</x:v>
      </x:c>
      <x:c r="AE107" s="21" t="n">
        <x:v>0</x:v>
      </x:c>
      <x:c r="AF107" s="21" t="n">
        <x:v>0</x:v>
      </x:c>
      <x:c r="AG107" s="21" t="n">
        <x:v>0</x:v>
      </x:c>
      <x:c r="AH107" s="21" t="n">
        <x:v>0</x:v>
      </x:c>
      <x:c r="AI107" s="21" t="n">
        <x:v>0</x:v>
      </x:c>
      <x:c r="AJ107" s="21" t="n">
        <x:v>0</x:v>
      </x:c>
      <x:c r="AK107" s="21" t="n">
        <x:v>0</x:v>
      </x:c>
      <x:c r="AL107" s="21" t="n">
        <x:v>0</x:v>
      </x:c>
      <x:c r="AM107" s="21" t="n">
        <x:v>1</x:v>
      </x:c>
      <x:c r="AN107" s="21" t="n">
        <x:v>1</x:v>
      </x:c>
      <x:c r="AO107" s="21" t="n">
        <x:v>1</x:v>
      </x:c>
      <x:c r="AP107" s="21" t="n">
        <x:v>1</x:v>
      </x:c>
      <x:c r="AQ107" s="21" t="n">
        <x:v>1</x:v>
      </x:c>
      <x:c r="AR107" s="21" t="n">
        <x:v>1</x:v>
      </x:c>
      <x:c r="AS107" s="21" t="n">
        <x:v>1</x:v>
      </x:c>
      <x:c r="AT107" s="21" t="n">
        <x:v>1</x:v>
      </x:c>
      <x:c r="AU107" s="21" t="n">
        <x:v>0</x:v>
      </x:c>
      <x:c r="AV107" s="22" t="n">
        <x:f>IF(C107="QB",N107*0.04+O107*4-P107*2+R107*0.1+S107*6,IF(OR(C107="RB",C107="WR",C107="TE"),U107*0.1+V107*6+R107*0.1+S107*6+X107*0.5+Y107*0.1+Z107*6,IF(C107="K",AC107*3+AD107*4+AE107*5+AF107,IF(C107="DST",AG107+AH107*2+AI107*6+AL107,0))))</x:f>
        <x:v>3.0000000000000004</x:v>
      </x:c>
      <x:c r="AW107" s="22" t="n">
        <x:f>(AV107+AU107)*G107</x:f>
        <x:v>3.0000000000000004</x:v>
      </x:c>
      <x:c r="AX107" s="22" t="n">
        <x:f>MAX(0,AW107*IF(C107="QB",0.68,IF(C107="RB",0.58,IF(C107="WR",0.52,IF(C107="TE",0.50,IF(C107="K",0.55,0.40))))))</x:f>
        <x:v>1.7400000000000002</x:v>
      </x:c>
      <x:c r="AY107" s="22" t="n">
        <x:f>AW107*IF(C107="QB",1.32,IF(C107="RB",1.45,IF(C107="WR",1.55,IF(C107="TE",1.60,IF(C107="K",1.45,1.65)))))</x:f>
        <x:v>4.3500000000000005</x:v>
      </x:c>
      <x:c r="AZ107" s="12" t="str">
        <x:v>High</x:v>
      </x:c>
      <x:c r="BA107" s="12" t="n">
        <x:v>8</x:v>
      </x:c>
      <x:c r="BB107" s="12" t="n">
        <x:f>COUNTIFS($C$2:$C$344,C107,$AW$2:$AW$344,"&gt;"&amp;AW107,$G$2:$G$344,"&gt;0")+COUNTIFS($C$2:C107,C107,$AW$2:AW107,AW107,$G$2:G107,"&gt;0")</x:f>
        <x:v>68</x:v>
      </x:c>
      <x:c r="BC107" s="12" t="n">
        <x:v>68</x:v>
      </x:c>
      <x:c r="BD107" s="12" t="str">
        <x:f>IF(BB107&lt;BC107,"↑",IF(BB107&gt;BC107,"↓","→"))</x:f>
        <x:v>→</x:v>
      </x:c>
      <x:c r="BE107" s="23" t="str">
        <x:v>Fantasy Football Brief ROS baseline; official NFL schedule</x:v>
      </x:c>
      <x:c r="BF107" s="23" t="str">
        <x:v>Current role and availability baseline; all adjustment factors shown numerically</x:v>
      </x:c>
      <x:c r="BG107" s="23" t="str">
        <x:v>Material injury, depth-chart, or role change</x:v>
      </x:c>
      <x:c r="BH107" s="24" t="str">
        <x:v>2026-09-23 10:35 CT</x:v>
      </x:c>
    </x:row>
    <x:row r="108">
      <x:c r="A108" s="12" t="str">
        <x:v>Samaje Perine</x:v>
      </x:c>
      <x:c r="B108" s="12" t="str">
        <x:v>CIN</x:v>
      </x:c>
      <x:c r="C108" s="12" t="str">
        <x:v>RB</x:v>
      </x:c>
      <x:c r="D108" s="12" t="str">
        <x:v>PIT</x:v>
      </x:c>
      <x:c r="E108" s="12" t="str">
        <x:v>Away</x:v>
      </x:c>
      <x:c r="F108" s="12" t="str">
        <x:v>2026-09-27</x:v>
      </x:c>
      <x:c r="G108" s="19" t="n">
        <x:v>1</x:v>
      </x:c>
      <x:c r="H108" s="20" t="str">
        <x:v>ACTIVE</x:v>
      </x:c>
      <x:c r="I108" s="20" t="n">
        <x:v>36</x:v>
      </x:c>
      <x:c r="J108" s="20" t="str">
        <x:v>Opportunities</x:v>
      </x:c>
      <x:c r="K108" s="20" t="n">
        <x:v>4.008097165991903</x:v>
      </x:c>
      <x:c r="L108" s="21" t="n">
        <x:v>0</x:v>
      </x:c>
      <x:c r="M108" s="21" t="n">
        <x:v>0</x:v>
      </x:c>
      <x:c r="N108" s="21" t="n">
        <x:v>0</x:v>
      </x:c>
      <x:c r="O108" s="21" t="n">
        <x:v>0</x:v>
      </x:c>
      <x:c r="P108" s="21" t="n">
        <x:v>0</x:v>
      </x:c>
      <x:c r="Q108" s="21" t="n">
        <x:v>0</x:v>
      </x:c>
      <x:c r="R108" s="21" t="n">
        <x:v>0</x:v>
      </x:c>
      <x:c r="S108" s="21" t="n">
        <x:v>0</x:v>
      </x:c>
      <x:c r="T108" s="21" t="n">
        <x:v>3.1578947368421053</x:v>
      </x:c>
      <x:c r="U108" s="21" t="n">
        <x:v>13.945360323886641</x:v>
      </x:c>
      <x:c r="V108" s="21" t="n">
        <x:v>0.09617489878542512</x:v>
      </x:c>
      <x:c r="W108" s="21" t="n">
        <x:v>0.8502024291497976</x:v>
      </x:c>
      <x:c r="X108" s="21" t="n">
        <x:v>0.6558704453441296</x:v>
      </x:c>
      <x:c r="Y108" s="21" t="n">
        <x:v>5.289619433198381</x:v>
      </x:c>
      <x:c r="Z108" s="21" t="n">
        <x:v>0.02404372469635628</x:v>
      </x:c>
      <x:c r="AA108" s="21" t="n">
        <x:v>0</x:v>
      </x:c>
      <x:c r="AB108" s="21" t="n">
        <x:v>0</x:v>
      </x:c>
      <x:c r="AC108" s="21" t="n">
        <x:v>0</x:v>
      </x:c>
      <x:c r="AD108" s="21" t="n">
        <x:v>0</x:v>
      </x:c>
      <x:c r="AE108" s="21" t="n">
        <x:v>0</x:v>
      </x:c>
      <x:c r="AF108" s="21" t="n">
        <x:v>0</x:v>
      </x:c>
      <x:c r="AG108" s="21" t="n">
        <x:v>0</x:v>
      </x:c>
      <x:c r="AH108" s="21" t="n">
        <x:v>0</x:v>
      </x:c>
      <x:c r="AI108" s="21" t="n">
        <x:v>0</x:v>
      </x:c>
      <x:c r="AJ108" s="21" t="n">
        <x:v>0</x:v>
      </x:c>
      <x:c r="AK108" s="21" t="n">
        <x:v>0</x:v>
      </x:c>
      <x:c r="AL108" s="21" t="n">
        <x:v>0</x:v>
      </x:c>
      <x:c r="AM108" s="21" t="n">
        <x:v>1</x:v>
      </x:c>
      <x:c r="AN108" s="21" t="n">
        <x:v>1</x:v>
      </x:c>
      <x:c r="AO108" s="21" t="n">
        <x:v>1</x:v>
      </x:c>
      <x:c r="AP108" s="21" t="n">
        <x:v>1.01</x:v>
      </x:c>
      <x:c r="AQ108" s="21" t="n">
        <x:v>0.98</x:v>
      </x:c>
      <x:c r="AR108" s="21" t="n">
        <x:v>1</x:v>
      </x:c>
      <x:c r="AS108" s="21" t="n">
        <x:v>1</x:v>
      </x:c>
      <x:c r="AT108" s="21" t="n">
        <x:v>1</x:v>
      </x:c>
      <x:c r="AU108" s="21" t="n">
        <x:v>0</x:v>
      </x:c>
      <x:c r="AV108" s="22" t="n">
        <x:f>IF(C108="QB",N108*0.04+O108*4-P108*2+R108*0.1+S108*6,IF(OR(C108="RB",C108="WR",C108="TE"),U108*0.1+V108*6+R108*0.1+S108*6+X108*0.5+Y108*0.1+Z108*6,IF(C108="K",AC108*3+AD108*4+AE108*5+AF108,IF(C108="DST",AG108+AH108*2+AI108*6+AL108,0))))</x:f>
        <x:v>2.9727449392712555</x:v>
      </x:c>
      <x:c r="AW108" s="22" t="n">
        <x:f>(AV108+AU108)*G108</x:f>
        <x:v>2.9727449392712555</x:v>
      </x:c>
      <x:c r="AX108" s="22" t="n">
        <x:f>MAX(0,AW108*IF(C108="QB",0.68,IF(C108="RB",0.58,IF(C108="WR",0.52,IF(C108="TE",0.50,IF(C108="K",0.55,0.40))))))</x:f>
        <x:v>1.7241920647773281</x:v>
      </x:c>
      <x:c r="AY108" s="22" t="n">
        <x:f>AW108*IF(C108="QB",1.32,IF(C108="RB",1.45,IF(C108="WR",1.55,IF(C108="TE",1.60,IF(C108="K",1.45,1.65)))))</x:f>
        <x:v>4.31048016194332</x:v>
      </x:c>
      <x:c r="AZ108" s="12" t="str">
        <x:v>High</x:v>
      </x:c>
      <x:c r="BA108" s="12" t="n">
        <x:v>8</x:v>
      </x:c>
      <x:c r="BB108" s="12" t="n">
        <x:f>COUNTIFS($C$2:$C$344,C108,$AW$2:$AW$344,"&gt;"&amp;AW108,$G$2:$G$344,"&gt;0")+COUNTIFS($C$2:C108,C108,$AW$2:AW108,AW108,$G$2:G108,"&gt;0")</x:f>
        <x:v>69</x:v>
      </x:c>
      <x:c r="BC108" s="12" t="n">
        <x:v>69</x:v>
      </x:c>
      <x:c r="BD108" s="12" t="str">
        <x:f>IF(BB108&lt;BC108,"↑",IF(BB108&gt;BC108,"↓","→"))</x:f>
        <x:v>→</x:v>
      </x:c>
      <x:c r="BE108" s="23" t="str">
        <x:v>Fantasy Football Brief ROS baseline; official NFL schedule</x:v>
      </x:c>
      <x:c r="BF108" s="23" t="str">
        <x:v>Current role and availability baseline; all adjustment factors shown numerically</x:v>
      </x:c>
      <x:c r="BG108" s="23" t="str">
        <x:v>Material injury, depth-chart, or role change</x:v>
      </x:c>
      <x:c r="BH108" s="24" t="str">
        <x:v>2026-09-23 10:35 CT</x:v>
      </x:c>
    </x:row>
    <x:row r="109">
      <x:c r="A109" s="12" t="str">
        <x:v>Justice Hill</x:v>
      </x:c>
      <x:c r="B109" s="12" t="str">
        <x:v>BAL</x:v>
      </x:c>
      <x:c r="C109" s="12" t="str">
        <x:v>RB</x:v>
      </x:c>
      <x:c r="D109" s="12" t="str">
        <x:v>DAL</x:v>
      </x:c>
      <x:c r="E109" s="12" t="str">
        <x:v>Away</x:v>
      </x:c>
      <x:c r="F109" s="12" t="str">
        <x:v>2026-09-27</x:v>
      </x:c>
      <x:c r="G109" s="19" t="n">
        <x:v>1</x:v>
      </x:c>
      <x:c r="H109" s="20" t="str">
        <x:v>ACTIVE</x:v>
      </x:c>
      <x:c r="I109" s="20" t="n">
        <x:v>36</x:v>
      </x:c>
      <x:c r="J109" s="20" t="str">
        <x:v>Opportunities</x:v>
      </x:c>
      <x:c r="K109" s="20" t="n">
        <x:v>3.6072874493927127</x:v>
      </x:c>
      <x:c r="L109" s="21" t="n">
        <x:v>0</x:v>
      </x:c>
      <x:c r="M109" s="21" t="n">
        <x:v>0</x:v>
      </x:c>
      <x:c r="N109" s="21" t="n">
        <x:v>0</x:v>
      </x:c>
      <x:c r="O109" s="21" t="n">
        <x:v>0</x:v>
      </x:c>
      <x:c r="P109" s="21" t="n">
        <x:v>0</x:v>
      </x:c>
      <x:c r="Q109" s="21" t="n">
        <x:v>0</x:v>
      </x:c>
      <x:c r="R109" s="21" t="n">
        <x:v>0</x:v>
      </x:c>
      <x:c r="S109" s="21" t="n">
        <x:v>0</x:v>
      </x:c>
      <x:c r="T109" s="21" t="n">
        <x:v>2.8421052631578947</x:v>
      </x:c>
      <x:c r="U109" s="21" t="n">
        <x:v>13.714863157894738</x:v>
      </x:c>
      <x:c r="V109" s="21" t="n">
        <x:v>0.09458526315789476</x:v>
      </x:c>
      <x:c r="W109" s="21" t="n">
        <x:v>0.7651821862348178</x:v>
      </x:c>
      <x:c r="X109" s="21" t="n">
        <x:v>0.5902834008097166</x:v>
      </x:c>
      <x:c r="Y109" s="21" t="n">
        <x:v>5.202189473684212</x:v>
      </x:c>
      <x:c r="Z109" s="21" t="n">
        <x:v>0.02364631578947369</x:v>
      </x:c>
      <x:c r="AA109" s="21" t="n">
        <x:v>0</x:v>
      </x:c>
      <x:c r="AB109" s="21" t="n">
        <x:v>0</x:v>
      </x:c>
      <x:c r="AC109" s="21" t="n">
        <x:v>0</x:v>
      </x:c>
      <x:c r="AD109" s="21" t="n">
        <x:v>0</x:v>
      </x:c>
      <x:c r="AE109" s="21" t="n">
        <x:v>0</x:v>
      </x:c>
      <x:c r="AF109" s="21" t="n">
        <x:v>0</x:v>
      </x:c>
      <x:c r="AG109" s="21" t="n">
        <x:v>0</x:v>
      </x:c>
      <x:c r="AH109" s="21" t="n">
        <x:v>0</x:v>
      </x:c>
      <x:c r="AI109" s="21" t="n">
        <x:v>0</x:v>
      </x:c>
      <x:c r="AJ109" s="21" t="n">
        <x:v>0</x:v>
      </x:c>
      <x:c r="AK109" s="21" t="n">
        <x:v>0</x:v>
      </x:c>
      <x:c r="AL109" s="21" t="n">
        <x:v>0</x:v>
      </x:c>
      <x:c r="AM109" s="21" t="n">
        <x:v>1</x:v>
      </x:c>
      <x:c r="AN109" s="21" t="n">
        <x:v>1</x:v>
      </x:c>
      <x:c r="AO109" s="21" t="n">
        <x:v>1</x:v>
      </x:c>
      <x:c r="AP109" s="21" t="n">
        <x:v>1.04</x:v>
      </x:c>
      <x:c r="AQ109" s="21" t="n">
        <x:v>1.04</x:v>
      </x:c>
      <x:c r="AR109" s="21" t="n">
        <x:v>1</x:v>
      </x:c>
      <x:c r="AS109" s="21" t="n">
        <x:v>1</x:v>
      </x:c>
      <x:c r="AT109" s="21" t="n">
        <x:v>1</x:v>
      </x:c>
      <x:c r="AU109" s="21" t="n">
        <x:v>0</x:v>
      </x:c>
      <x:c r="AV109" s="22" t="n">
        <x:f>IF(C109="QB",N109*0.04+O109*4-P109*2+R109*0.1+S109*6,IF(OR(C109="RB",C109="WR",C109="TE"),U109*0.1+V109*6+R109*0.1+S109*6+X109*0.5+Y109*0.1+Z109*6,IF(C109="K",AC109*3+AD109*4+AE109*5+AF109,IF(C109="DST",AG109+AH109*2+AI109*6+AL109,0))))</x:f>
        <x:v>2.896236437246964</x:v>
      </x:c>
      <x:c r="AW109" s="22" t="n">
        <x:f>(AV109+AU109)*G109</x:f>
        <x:v>2.896236437246964</x:v>
      </x:c>
      <x:c r="AX109" s="22" t="n">
        <x:f>MAX(0,AW109*IF(C109="QB",0.68,IF(C109="RB",0.58,IF(C109="WR",0.52,IF(C109="TE",0.50,IF(C109="K",0.55,0.40))))))</x:f>
        <x:v>1.679817133603239</x:v>
      </x:c>
      <x:c r="AY109" s="22" t="n">
        <x:f>AW109*IF(C109="QB",1.32,IF(C109="RB",1.45,IF(C109="WR",1.55,IF(C109="TE",1.60,IF(C109="K",1.45,1.65)))))</x:f>
        <x:v>4.199542834008097</x:v>
      </x:c>
      <x:c r="AZ109" s="12" t="str">
        <x:v>High</x:v>
      </x:c>
      <x:c r="BA109" s="12" t="n">
        <x:v>8</x:v>
      </x:c>
      <x:c r="BB109" s="12" t="n">
        <x:f>COUNTIFS($C$2:$C$344,C109,$AW$2:$AW$344,"&gt;"&amp;AW109,$G$2:$G$344,"&gt;0")+COUNTIFS($C$2:C109,C109,$AW$2:AW109,AW109,$G$2:G109,"&gt;0")</x:f>
        <x:v>70</x:v>
      </x:c>
      <x:c r="BC109" s="12" t="n">
        <x:v>70</x:v>
      </x:c>
      <x:c r="BD109" s="12" t="str">
        <x:f>IF(BB109&lt;BC109,"↑",IF(BB109&gt;BC109,"↓","→"))</x:f>
        <x:v>→</x:v>
      </x:c>
      <x:c r="BE109" s="23" t="str">
        <x:v>Fantasy Football Brief ROS baseline; official NFL schedule</x:v>
      </x:c>
      <x:c r="BF109" s="23" t="str">
        <x:v>Current role and availability baseline; all adjustment factors shown numerically</x:v>
      </x:c>
      <x:c r="BG109" s="23" t="str">
        <x:v>Material injury, depth-chart, or role change</x:v>
      </x:c>
      <x:c r="BH109" s="24" t="str">
        <x:v>2026-09-23 10:35 CT</x:v>
      </x:c>
    </x:row>
    <x:row r="110">
      <x:c r="A110" s="12" t="str">
        <x:v>Zach Charbonnet</x:v>
      </x:c>
      <x:c r="B110" s="12" t="str">
        <x:v>SEA</x:v>
      </x:c>
      <x:c r="C110" s="12" t="str">
        <x:v>RB</x:v>
      </x:c>
      <x:c r="D110" s="12" t="str">
        <x:v>WAS</x:v>
      </x:c>
      <x:c r="E110" s="12" t="str">
        <x:v>Away</x:v>
      </x:c>
      <x:c r="F110" s="12" t="str">
        <x:v>2026-09-27</x:v>
      </x:c>
      <x:c r="G110" s="19" t="n">
        <x:v>0</x:v>
      </x:c>
      <x:c r="H110" s="20" t="str">
        <x:v>PUP</x:v>
      </x:c>
      <x:c r="I110" s="20" t="n">
        <x:v>16.8</x:v>
      </x:c>
      <x:c r="J110" s="20" t="str">
        <x:v>Opportunities</x:v>
      </x:c>
      <x:c r="K110" s="20" t="n">
        <x:v>8.149797570850202</x:v>
      </x:c>
      <x:c r="L110" s="21" t="n">
        <x:v>0</x:v>
      </x:c>
      <x:c r="M110" s="21" t="n">
        <x:v>0</x:v>
      </x:c>
      <x:c r="N110" s="21" t="n">
        <x:v>0</x:v>
      </x:c>
      <x:c r="O110" s="21" t="n">
        <x:v>0</x:v>
      </x:c>
      <x:c r="P110" s="21" t="n">
        <x:v>0</x:v>
      </x:c>
      <x:c r="Q110" s="21" t="n">
        <x:v>0</x:v>
      </x:c>
      <x:c r="R110" s="21" t="n">
        <x:v>0</x:v>
      </x:c>
      <x:c r="S110" s="21" t="n">
        <x:v>0</x:v>
      </x:c>
      <x:c r="T110" s="21" t="n">
        <x:v>6.421052631578947</x:v>
      </x:c>
      <x:c r="U110" s="21" t="n">
        <x:v>28.647773279352226</x:v>
      </x:c>
      <x:c r="V110" s="21" t="n">
        <x:v>0.19757085020242915</x:v>
      </x:c>
      <x:c r="W110" s="21" t="n">
        <x:v>1.728744939271255</x:v>
      </x:c>
      <x:c r="X110" s="21" t="n">
        <x:v>1.3336032388663968</x:v>
      </x:c>
      <x:c r="Y110" s="21" t="n">
        <x:v>10.866396761133604</x:v>
      </x:c>
      <x:c r="Z110" s="21" t="n">
        <x:v>0.04939271255060729</x:v>
      </x:c>
      <x:c r="AA110" s="21" t="n">
        <x:v>0</x:v>
      </x:c>
      <x:c r="AB110" s="21" t="n">
        <x:v>0</x:v>
      </x:c>
      <x:c r="AC110" s="21" t="n">
        <x:v>0</x:v>
      </x:c>
      <x:c r="AD110" s="21" t="n">
        <x:v>0</x:v>
      </x:c>
      <x:c r="AE110" s="21" t="n">
        <x:v>0</x:v>
      </x:c>
      <x:c r="AF110" s="21" t="n">
        <x:v>0</x:v>
      </x:c>
      <x:c r="AG110" s="21" t="n">
        <x:v>0</x:v>
      </x:c>
      <x:c r="AH110" s="21" t="n">
        <x:v>0</x:v>
      </x:c>
      <x:c r="AI110" s="21" t="n">
        <x:v>0</x:v>
      </x:c>
      <x:c r="AJ110" s="21" t="n">
        <x:v>0</x:v>
      </x:c>
      <x:c r="AK110" s="21" t="n">
        <x:v>0</x:v>
      </x:c>
      <x:c r="AL110" s="21" t="n">
        <x:v>0</x:v>
      </x:c>
      <x:c r="AM110" s="21" t="n">
        <x:v>0.4666666666666667</x:v>
      </x:c>
      <x:c r="AN110" s="21" t="n">
        <x:v>1</x:v>
      </x:c>
      <x:c r="AO110" s="21" t="n">
        <x:v>1</x:v>
      </x:c>
      <x:c r="AP110" s="21" t="n">
        <x:v>1</x:v>
      </x:c>
      <x:c r="AQ110" s="21" t="n">
        <x:v>1</x:v>
      </x:c>
      <x:c r="AR110" s="21" t="n">
        <x:v>1</x:v>
      </x:c>
      <x:c r="AS110" s="21" t="n">
        <x:v>1</x:v>
      </x:c>
      <x:c r="AT110" s="21" t="n">
        <x:v>1</x:v>
      </x:c>
      <x:c r="AU110" s="21" t="n">
        <x:v>0</x:v>
      </x:c>
      <x:c r="AV110" s="22" t="n">
        <x:f>IF(C110="QB",N110*0.04+O110*4-P110*2+R110*0.1+S110*6,IF(OR(C110="RB",C110="WR",C110="TE"),U110*0.1+V110*6+R110*0.1+S110*6+X110*0.5+Y110*0.1+Z110*6,IF(C110="K",AC110*3+AD110*4+AE110*5+AF110,IF(C110="DST",AG110+AH110*2+AI110*6+AL110,0))))</x:f>
        <x:v>6.1</x:v>
      </x:c>
      <x:c r="AW110" s="22" t="n">
        <x:f>(AV110+AU110)*G110</x:f>
        <x:v>0</x:v>
      </x:c>
      <x:c r="AX110" s="22" t="n">
        <x:f>MAX(0,AW110*IF(C110="QB",0.68,IF(C110="RB",0.58,IF(C110="WR",0.52,IF(C110="TE",0.50,IF(C110="K",0.55,0.40))))))</x:f>
        <x:v>0</x:v>
      </x:c>
      <x:c r="AY110" s="22" t="n">
        <x:f>AW110*IF(C110="QB",1.32,IF(C110="RB",1.45,IF(C110="WR",1.55,IF(C110="TE",1.60,IF(C110="K",1.45,1.65)))))</x:f>
        <x:v>0</x:v>
      </x:c>
      <x:c r="AZ110" s="12" t="str">
        <x:v>High</x:v>
      </x:c>
      <x:c r="BA110" s="12" t="n">
        <x:v>8</x:v>
      </x:c>
      <x:c r="BB110" s="12"/>
      <x:c r="BC110" s="12" t="str">
        <x:v>NR</x:v>
      </x:c>
      <x:c r="BD110" s="12" t="str">
        <x:v>New</x:v>
      </x:c>
      <x:c r="BE110" s="23" t="str">
        <x:v>https://www.nbcsports.com/fantasy/football/news/2026-nfl-week-3-injury-report-jaxson-dart-mcl-chargers-down-two-tes-more-49ers-injuries</x:v>
      </x:c>
      <x:c r="BF110" s="23" t="str">
        <x:v>Seattle placed Charbonnet on reserve/PUP; he is unavailable for Week 3. Conditional inputs remain visible for audit; expected Week 3 points are zero.</x:v>
      </x:c>
      <x:c r="BG110" s="23" t="str">
        <x:v>Official activation or new-team transaction</x:v>
      </x:c>
      <x:c r="BH110" s="24" t="str">
        <x:v>2026-09-24 1:18 PM CT</x:v>
      </x:c>
    </x:row>
    <x:row r="111">
      <x:c r="A111" s="12" t="str">
        <x:v>Kendre Miller</x:v>
      </x:c>
      <x:c r="B111" s="12" t="str">
        <x:v>NO</x:v>
      </x:c>
      <x:c r="C111" s="12" t="str">
        <x:v>RB</x:v>
      </x:c>
      <x:c r="D111" s="12" t="str">
        <x:v>LV</x:v>
      </x:c>
      <x:c r="E111" s="12" t="str">
        <x:v>Home</x:v>
      </x:c>
      <x:c r="F111" s="12" t="str">
        <x:v>2026-09-27</x:v>
      </x:c>
      <x:c r="G111" s="19" t="n">
        <x:v>1</x:v>
      </x:c>
      <x:c r="H111" s="20" t="str">
        <x:v>ACTIVE</x:v>
      </x:c>
      <x:c r="I111" s="20" t="n">
        <x:v>36</x:v>
      </x:c>
      <x:c r="J111" s="20" t="str">
        <x:v>Opportunities</x:v>
      </x:c>
      <x:c r="K111" s="20" t="n">
        <x:v>3.6072874493927127</x:v>
      </x:c>
      <x:c r="L111" s="21" t="n">
        <x:v>0</x:v>
      </x:c>
      <x:c r="M111" s="21" t="n">
        <x:v>0</x:v>
      </x:c>
      <x:c r="N111" s="21" t="n">
        <x:v>0</x:v>
      </x:c>
      <x:c r="O111" s="21" t="n">
        <x:v>0</x:v>
      </x:c>
      <x:c r="P111" s="21" t="n">
        <x:v>0</x:v>
      </x:c>
      <x:c r="Q111" s="21" t="n">
        <x:v>0</x:v>
      </x:c>
      <x:c r="R111" s="21" t="n">
        <x:v>0</x:v>
      </x:c>
      <x:c r="S111" s="21" t="n">
        <x:v>0</x:v>
      </x:c>
      <x:c r="T111" s="21" t="n">
        <x:v>2.8421052631578947</x:v>
      </x:c>
      <x:c r="U111" s="21" t="n">
        <x:v>12.55336032388664</x:v>
      </x:c>
      <x:c r="V111" s="21" t="n">
        <x:v>0.08657489878542511</x:v>
      </x:c>
      <x:c r="W111" s="21" t="n">
        <x:v>0.7651821862348178</x:v>
      </x:c>
      <x:c r="X111" s="21" t="n">
        <x:v>0.5902834008097166</x:v>
      </x:c>
      <x:c r="Y111" s="21" t="n">
        <x:v>4.761619433198381</x:v>
      </x:c>
      <x:c r="Z111" s="21" t="n">
        <x:v>0.021643724696356278</x:v>
      </x:c>
      <x:c r="AA111" s="21" t="n">
        <x:v>0</x:v>
      </x:c>
      <x:c r="AB111" s="21" t="n">
        <x:v>0</x:v>
      </x:c>
      <x:c r="AC111" s="21" t="n">
        <x:v>0</x:v>
      </x:c>
      <x:c r="AD111" s="21" t="n">
        <x:v>0</x:v>
      </x:c>
      <x:c r="AE111" s="21" t="n">
        <x:v>0</x:v>
      </x:c>
      <x:c r="AF111" s="21" t="n">
        <x:v>0</x:v>
      </x:c>
      <x:c r="AG111" s="21" t="n">
        <x:v>0</x:v>
      </x:c>
      <x:c r="AH111" s="21" t="n">
        <x:v>0</x:v>
      </x:c>
      <x:c r="AI111" s="21" t="n">
        <x:v>0</x:v>
      </x:c>
      <x:c r="AJ111" s="21" t="n">
        <x:v>0</x:v>
      </x:c>
      <x:c r="AK111" s="21" t="n">
        <x:v>0</x:v>
      </x:c>
      <x:c r="AL111" s="21" t="n">
        <x:v>0</x:v>
      </x:c>
      <x:c r="AM111" s="21" t="n">
        <x:v>1</x:v>
      </x:c>
      <x:c r="AN111" s="21" t="n">
        <x:v>1</x:v>
      </x:c>
      <x:c r="AO111" s="21" t="n">
        <x:v>1</x:v>
      </x:c>
      <x:c r="AP111" s="21" t="n">
        <x:v>0.99</x:v>
      </x:c>
      <x:c r="AQ111" s="21" t="n">
        <x:v>1</x:v>
      </x:c>
      <x:c r="AR111" s="21" t="n">
        <x:v>1</x:v>
      </x:c>
      <x:c r="AS111" s="21" t="n">
        <x:v>1</x:v>
      </x:c>
      <x:c r="AT111" s="21" t="n">
        <x:v>1</x:v>
      </x:c>
      <x:c r="AU111" s="21" t="n">
        <x:v>0</x:v>
      </x:c>
      <x:c r="AV111" s="22" t="n">
        <x:f>IF(C111="QB",N111*0.04+O111*4-P111*2+R111*0.1+S111*6,IF(OR(C111="RB",C111="WR",C111="TE"),U111*0.1+V111*6+R111*0.1+S111*6+X111*0.5+Y111*0.1+Z111*6,IF(C111="K",AC111*3+AD111*4+AE111*5+AF111,IF(C111="DST",AG111+AH111*2+AI111*6+AL111,0))))</x:f>
        <x:v>2.6759514170040486</x:v>
      </x:c>
      <x:c r="AW111" s="22" t="n">
        <x:f>(AV111+AU111)*G111</x:f>
        <x:v>2.6759514170040486</x:v>
      </x:c>
      <x:c r="AX111" s="22" t="n">
        <x:f>MAX(0,AW111*IF(C111="QB",0.68,IF(C111="RB",0.58,IF(C111="WR",0.52,IF(C111="TE",0.50,IF(C111="K",0.55,0.40))))))</x:f>
        <x:v>1.552051821862348</x:v>
      </x:c>
      <x:c r="AY111" s="22" t="n">
        <x:f>AW111*IF(C111="QB",1.32,IF(C111="RB",1.45,IF(C111="WR",1.55,IF(C111="TE",1.60,IF(C111="K",1.45,1.65)))))</x:f>
        <x:v>3.8801295546558703</x:v>
      </x:c>
      <x:c r="AZ111" s="12" t="str">
        <x:v>High</x:v>
      </x:c>
      <x:c r="BA111" s="12" t="n">
        <x:v>8</x:v>
      </x:c>
      <x:c r="BB111" s="12" t="n">
        <x:f>COUNTIFS($C$2:$C$344,C111,$AW$2:$AW$344,"&gt;"&amp;AW111,$G$2:$G$344,"&gt;0")+COUNTIFS($C$2:C111,C111,$AW$2:AW111,AW111,$G$2:G111,"&gt;0")</x:f>
        <x:v>71</x:v>
      </x:c>
      <x:c r="BC111" s="12" t="n">
        <x:v>71</x:v>
      </x:c>
      <x:c r="BD111" s="12" t="str">
        <x:f>IF(BB111&lt;BC111,"↑",IF(BB111&gt;BC111,"↓","→"))</x:f>
        <x:v>→</x:v>
      </x:c>
      <x:c r="BE111" s="23" t="str">
        <x:v>Fantasy Football Brief ROS baseline; official NFL schedule</x:v>
      </x:c>
      <x:c r="BF111" s="23" t="str">
        <x:v>Current role and availability baseline; all adjustment factors shown numerically</x:v>
      </x:c>
      <x:c r="BG111" s="23" t="str">
        <x:v>Material injury, depth-chart, or role change</x:v>
      </x:c>
      <x:c r="BH111" s="24" t="str">
        <x:v>2026-09-23 10:35 CT</x:v>
      </x:c>
    </x:row>
    <x:row r="112">
      <x:c r="A112" s="12" t="str">
        <x:v>Ollie Gordon II</x:v>
      </x:c>
      <x:c r="B112" s="12" t="str">
        <x:v>MIA</x:v>
      </x:c>
      <x:c r="C112" s="12" t="str">
        <x:v>RB</x:v>
      </x:c>
      <x:c r="D112" s="12" t="str">
        <x:v>KC</x:v>
      </x:c>
      <x:c r="E112" s="12" t="str">
        <x:v>Home</x:v>
      </x:c>
      <x:c r="F112" s="12" t="str">
        <x:v>2026-09-27</x:v>
      </x:c>
      <x:c r="G112" s="19" t="n">
        <x:v>1</x:v>
      </x:c>
      <x:c r="H112" s="20" t="str">
        <x:v>ACTIVE</x:v>
      </x:c>
      <x:c r="I112" s="20" t="n">
        <x:v>36</x:v>
      </x:c>
      <x:c r="J112" s="20" t="str">
        <x:v>Opportunities</x:v>
      </x:c>
      <x:c r="K112" s="20" t="n">
        <x:v>3.740890688259109</x:v>
      </x:c>
      <x:c r="L112" s="21" t="n">
        <x:v>0</x:v>
      </x:c>
      <x:c r="M112" s="21" t="n">
        <x:v>0</x:v>
      </x:c>
      <x:c r="N112" s="21" t="n">
        <x:v>0</x:v>
      </x:c>
      <x:c r="O112" s="21" t="n">
        <x:v>0</x:v>
      </x:c>
      <x:c r="P112" s="21" t="n">
        <x:v>0</x:v>
      </x:c>
      <x:c r="Q112" s="21" t="n">
        <x:v>0</x:v>
      </x:c>
      <x:c r="R112" s="21" t="n">
        <x:v>0</x:v>
      </x:c>
      <x:c r="S112" s="21" t="n">
        <x:v>0</x:v>
      </x:c>
      <x:c r="T112" s="21" t="n">
        <x:v>2.9473684210526314</x:v>
      </x:c>
      <x:c r="U112" s="21" t="n">
        <x:v>12.245091497975707</x:v>
      </x:c>
      <x:c r="V112" s="21" t="n">
        <x:v>0.08444890688259109</x:v>
      </x:c>
      <x:c r="W112" s="21" t="n">
        <x:v>0.7935222672064778</x:v>
      </x:c>
      <x:c r="X112" s="21" t="n">
        <x:v>0.6121457489878543</x:v>
      </x:c>
      <x:c r="Y112" s="21" t="n">
        <x:v>4.6446898785425095</x:v>
      </x:c>
      <x:c r="Z112" s="21" t="n">
        <x:v>0.021112226720647772</x:v>
      </x:c>
      <x:c r="AA112" s="21" t="n">
        <x:v>0</x:v>
      </x:c>
      <x:c r="AB112" s="21" t="n">
        <x:v>0</x:v>
      </x:c>
      <x:c r="AC112" s="21" t="n">
        <x:v>0</x:v>
      </x:c>
      <x:c r="AD112" s="21" t="n">
        <x:v>0</x:v>
      </x:c>
      <x:c r="AE112" s="21" t="n">
        <x:v>0</x:v>
      </x:c>
      <x:c r="AF112" s="21" t="n">
        <x:v>0</x:v>
      </x:c>
      <x:c r="AG112" s="21" t="n">
        <x:v>0</x:v>
      </x:c>
      <x:c r="AH112" s="21" t="n">
        <x:v>0</x:v>
      </x:c>
      <x:c r="AI112" s="21" t="n">
        <x:v>0</x:v>
      </x:c>
      <x:c r="AJ112" s="21" t="n">
        <x:v>0</x:v>
      </x:c>
      <x:c r="AK112" s="21" t="n">
        <x:v>0</x:v>
      </x:c>
      <x:c r="AL112" s="21" t="n">
        <x:v>0</x:v>
      </x:c>
      <x:c r="AM112" s="21" t="n">
        <x:v>1</x:v>
      </x:c>
      <x:c r="AN112" s="21" t="n">
        <x:v>1</x:v>
      </x:c>
      <x:c r="AO112" s="21" t="n">
        <x:v>1</x:v>
      </x:c>
      <x:c r="AP112" s="21" t="n">
        <x:v>0.97</x:v>
      </x:c>
      <x:c r="AQ112" s="21" t="n">
        <x:v>0.96</x:v>
      </x:c>
      <x:c r="AR112" s="21" t="n">
        <x:v>1</x:v>
      </x:c>
      <x:c r="AS112" s="21" t="n">
        <x:v>1</x:v>
      </x:c>
      <x:c r="AT112" s="21" t="n">
        <x:v>1</x:v>
      </x:c>
      <x:c r="AU112" s="21" t="n">
        <x:v>0</x:v>
      </x:c>
      <x:c r="AV112" s="22" t="n">
        <x:f>IF(C112="QB",N112*0.04+O112*4-P112*2+R112*0.1+S112*6,IF(OR(C112="RB",C112="WR",C112="TE"),U112*0.1+V112*6+R112*0.1+S112*6+X112*0.5+Y112*0.1+Z112*6,IF(C112="K",AC112*3+AD112*4+AE112*5+AF112,IF(C112="DST",AG112+AH112*2+AI112*6+AL112,0))))</x:f>
        <x:v>2.628417813765182</x:v>
      </x:c>
      <x:c r="AW112" s="22" t="n">
        <x:f>(AV112+AU112)*G112</x:f>
        <x:v>2.628417813765182</x:v>
      </x:c>
      <x:c r="AX112" s="22" t="n">
        <x:f>MAX(0,AW112*IF(C112="QB",0.68,IF(C112="RB",0.58,IF(C112="WR",0.52,IF(C112="TE",0.50,IF(C112="K",0.55,0.40))))))</x:f>
        <x:v>1.5244823319838054</x:v>
      </x:c>
      <x:c r="AY112" s="22" t="n">
        <x:f>AW112*IF(C112="QB",1.32,IF(C112="RB",1.45,IF(C112="WR",1.55,IF(C112="TE",1.60,IF(C112="K",1.45,1.65)))))</x:f>
        <x:v>3.811205829959514</x:v>
      </x:c>
      <x:c r="AZ112" s="12" t="str">
        <x:v>High</x:v>
      </x:c>
      <x:c r="BA112" s="12" t="n">
        <x:v>8</x:v>
      </x:c>
      <x:c r="BB112" s="12" t="n">
        <x:f>COUNTIFS($C$2:$C$344,C112,$AW$2:$AW$344,"&gt;"&amp;AW112,$G$2:$G$344,"&gt;0")+COUNTIFS($C$2:C112,C112,$AW$2:AW112,AW112,$G$2:G112,"&gt;0")</x:f>
        <x:v>72</x:v>
      </x:c>
      <x:c r="BC112" s="12" t="n">
        <x:v>72</x:v>
      </x:c>
      <x:c r="BD112" s="12" t="str">
        <x:f>IF(BB112&lt;BC112,"↑",IF(BB112&gt;BC112,"↓","→"))</x:f>
        <x:v>→</x:v>
      </x:c>
      <x:c r="BE112" s="23" t="str">
        <x:v>Fantasy Football Brief ROS baseline; official NFL schedule</x:v>
      </x:c>
      <x:c r="BF112" s="23" t="str">
        <x:v>Current role and availability baseline; all adjustment factors shown numerically</x:v>
      </x:c>
      <x:c r="BG112" s="23" t="str">
        <x:v>Material injury, depth-chart, or role change</x:v>
      </x:c>
      <x:c r="BH112" s="24" t="str">
        <x:v>2026-09-23 10:35 CT</x:v>
      </x:c>
    </x:row>
    <x:row r="113">
      <x:c r="A113" s="12" t="str">
        <x:v>LeQuint Allen Jr.</x:v>
      </x:c>
      <x:c r="B113" s="12" t="str">
        <x:v>JAC</x:v>
      </x:c>
      <x:c r="C113" s="12" t="str">
        <x:v>RB</x:v>
      </x:c>
      <x:c r="D113" s="12" t="str">
        <x:v>NE</x:v>
      </x:c>
      <x:c r="E113" s="12" t="str">
        <x:v>Home</x:v>
      </x:c>
      <x:c r="F113" s="12" t="str">
        <x:v>2026-09-27</x:v>
      </x:c>
      <x:c r="G113" s="19" t="n">
        <x:v>1</x:v>
      </x:c>
      <x:c r="H113" s="20" t="str">
        <x:v>ACTIVE</x:v>
      </x:c>
      <x:c r="I113" s="20" t="n">
        <x:v>36</x:v>
      </x:c>
      <x:c r="J113" s="20" t="str">
        <x:v>Opportunities</x:v>
      </x:c>
      <x:c r="K113" s="20" t="n">
        <x:v>3.3400809716599187</x:v>
      </x:c>
      <x:c r="L113" s="21" t="n">
        <x:v>0</x:v>
      </x:c>
      <x:c r="M113" s="21" t="n">
        <x:v>0</x:v>
      </x:c>
      <x:c r="N113" s="21" t="n">
        <x:v>0</x:v>
      </x:c>
      <x:c r="O113" s="21" t="n">
        <x:v>0</x:v>
      </x:c>
      <x:c r="P113" s="21" t="n">
        <x:v>0</x:v>
      </x:c>
      <x:c r="Q113" s="21" t="n">
        <x:v>0</x:v>
      </x:c>
      <x:c r="R113" s="21" t="n">
        <x:v>0</x:v>
      </x:c>
      <x:c r="S113" s="21" t="n">
        <x:v>0</x:v>
      </x:c>
      <x:c r="T113" s="21" t="n">
        <x:v>2.631578947368421</x:v>
      </x:c>
      <x:c r="U113" s="21" t="n">
        <x:v>11.740890688259109</x:v>
      </x:c>
      <x:c r="V113" s="21" t="n">
        <x:v>0.08097165991902834</x:v>
      </x:c>
      <x:c r="W113" s="21" t="n">
        <x:v>0.708502024291498</x:v>
      </x:c>
      <x:c r="X113" s="21" t="n">
        <x:v>0.5465587044534413</x:v>
      </x:c>
      <x:c r="Y113" s="21" t="n">
        <x:v>4.4534412955465585</x:v>
      </x:c>
      <x:c r="Z113" s="21" t="n">
        <x:v>0.020242914979757085</x:v>
      </x:c>
      <x:c r="AA113" s="21" t="n">
        <x:v>0</x:v>
      </x:c>
      <x:c r="AB113" s="21" t="n">
        <x:v>0</x:v>
      </x:c>
      <x:c r="AC113" s="21" t="n">
        <x:v>0</x:v>
      </x:c>
      <x:c r="AD113" s="21" t="n">
        <x:v>0</x:v>
      </x:c>
      <x:c r="AE113" s="21" t="n">
        <x:v>0</x:v>
      </x:c>
      <x:c r="AF113" s="21" t="n">
        <x:v>0</x:v>
      </x:c>
      <x:c r="AG113" s="21" t="n">
        <x:v>0</x:v>
      </x:c>
      <x:c r="AH113" s="21" t="n">
        <x:v>0</x:v>
      </x:c>
      <x:c r="AI113" s="21" t="n">
        <x:v>0</x:v>
      </x:c>
      <x:c r="AJ113" s="21" t="n">
        <x:v>0</x:v>
      </x:c>
      <x:c r="AK113" s="21" t="n">
        <x:v>0</x:v>
      </x:c>
      <x:c r="AL113" s="21" t="n">
        <x:v>0</x:v>
      </x:c>
      <x:c r="AM113" s="21" t="n">
        <x:v>1</x:v>
      </x:c>
      <x:c r="AN113" s="21" t="n">
        <x:v>1</x:v>
      </x:c>
      <x:c r="AO113" s="21" t="n">
        <x:v>1</x:v>
      </x:c>
      <x:c r="AP113" s="21" t="n">
        <x:v>1</x:v>
      </x:c>
      <x:c r="AQ113" s="21" t="n">
        <x:v>1</x:v>
      </x:c>
      <x:c r="AR113" s="21" t="n">
        <x:v>1</x:v>
      </x:c>
      <x:c r="AS113" s="21" t="n">
        <x:v>1</x:v>
      </x:c>
      <x:c r="AT113" s="21" t="n">
        <x:v>1</x:v>
      </x:c>
      <x:c r="AU113" s="21" t="n">
        <x:v>0</x:v>
      </x:c>
      <x:c r="AV113" s="22" t="n">
        <x:f>IF(C113="QB",N113*0.04+O113*4-P113*2+R113*0.1+S113*6,IF(OR(C113="RB",C113="WR",C113="TE"),U113*0.1+V113*6+R113*0.1+S113*6+X113*0.5+Y113*0.1+Z113*6,IF(C113="K",AC113*3+AD113*4+AE113*5+AF113,IF(C113="DST",AG113+AH113*2+AI113*6+AL113,0))))</x:f>
        <x:v>2.5</x:v>
      </x:c>
      <x:c r="AW113" s="22" t="n">
        <x:f>(AV113+AU113)*G113</x:f>
        <x:v>2.5</x:v>
      </x:c>
      <x:c r="AX113" s="22" t="n">
        <x:f>MAX(0,AW113*IF(C113="QB",0.68,IF(C113="RB",0.58,IF(C113="WR",0.52,IF(C113="TE",0.50,IF(C113="K",0.55,0.40))))))</x:f>
        <x:v>1.45</x:v>
      </x:c>
      <x:c r="AY113" s="22" t="n">
        <x:f>AW113*IF(C113="QB",1.32,IF(C113="RB",1.45,IF(C113="WR",1.55,IF(C113="TE",1.60,IF(C113="K",1.45,1.65)))))</x:f>
        <x:v>3.625</x:v>
      </x:c>
      <x:c r="AZ113" s="12" t="str">
        <x:v>High</x:v>
      </x:c>
      <x:c r="BA113" s="12" t="n">
        <x:v>8</x:v>
      </x:c>
      <x:c r="BB113" s="12" t="n">
        <x:f>COUNTIFS($C$2:$C$344,C113,$AW$2:$AW$344,"&gt;"&amp;AW113,$G$2:$G$344,"&gt;0")+COUNTIFS($C$2:C113,C113,$AW$2:AW113,AW113,$G$2:G113,"&gt;0")</x:f>
        <x:v>73</x:v>
      </x:c>
      <x:c r="BC113" s="12" t="n">
        <x:v>73</x:v>
      </x:c>
      <x:c r="BD113" s="12" t="str">
        <x:f>IF(BB113&lt;BC113,"↑",IF(BB113&gt;BC113,"↓","→"))</x:f>
        <x:v>→</x:v>
      </x:c>
      <x:c r="BE113" s="23" t="str">
        <x:v>Fantasy Football Brief ROS baseline; official NFL schedule</x:v>
      </x:c>
      <x:c r="BF113" s="23" t="str">
        <x:v>Current role and availability baseline; all adjustment factors shown numerically</x:v>
      </x:c>
      <x:c r="BG113" s="23" t="str">
        <x:v>Material injury, depth-chart, or role change</x:v>
      </x:c>
      <x:c r="BH113" s="24" t="str">
        <x:v>2026-09-23 10:35 CT</x:v>
      </x:c>
    </x:row>
    <x:row r="114">
      <x:c r="A114" s="12" t="str">
        <x:v>Devin Singletary</x:v>
      </x:c>
      <x:c r="B114" s="12" t="str">
        <x:v>NYG</x:v>
      </x:c>
      <x:c r="C114" s="12" t="str">
        <x:v>RB</x:v>
      </x:c>
      <x:c r="D114" s="12" t="str">
        <x:v>TEN</x:v>
      </x:c>
      <x:c r="E114" s="12" t="str">
        <x:v>Home</x:v>
      </x:c>
      <x:c r="F114" s="12" t="str">
        <x:v>2026-09-27</x:v>
      </x:c>
      <x:c r="G114" s="19" t="n">
        <x:v>1</x:v>
      </x:c>
      <x:c r="H114" s="20" t="str">
        <x:v>ACTIVE</x:v>
      </x:c>
      <x:c r="I114" s="20" t="n">
        <x:v>36</x:v>
      </x:c>
      <x:c r="J114" s="20" t="str">
        <x:v>Opportunities</x:v>
      </x:c>
      <x:c r="K114" s="20" t="n">
        <x:v>3.3400809716599187</x:v>
      </x:c>
      <x:c r="L114" s="21" t="n">
        <x:v>0</x:v>
      </x:c>
      <x:c r="M114" s="21" t="n">
        <x:v>0</x:v>
      </x:c>
      <x:c r="N114" s="21" t="n">
        <x:v>0</x:v>
      </x:c>
      <x:c r="O114" s="21" t="n">
        <x:v>0</x:v>
      </x:c>
      <x:c r="P114" s="21" t="n">
        <x:v>0</x:v>
      </x:c>
      <x:c r="Q114" s="21" t="n">
        <x:v>0</x:v>
      </x:c>
      <x:c r="R114" s="21" t="n">
        <x:v>0</x:v>
      </x:c>
      <x:c r="S114" s="21" t="n">
        <x:v>0</x:v>
      </x:c>
      <x:c r="T114" s="21" t="n">
        <x:v>2.631578947368421</x:v>
      </x:c>
      <x:c r="U114" s="21" t="n">
        <x:v>11.496680161943319</x:v>
      </x:c>
      <x:c r="V114" s="21" t="n">
        <x:v>0.07928744939271255</x:v>
      </x:c>
      <x:c r="W114" s="21" t="n">
        <x:v>0.708502024291498</x:v>
      </x:c>
      <x:c r="X114" s="21" t="n">
        <x:v>0.5192307692307693</x:v>
      </x:c>
      <x:c r="Y114" s="21" t="n">
        <x:v>3.9247287449392716</x:v>
      </x:c>
      <x:c r="Z114" s="21" t="n">
        <x:v>0.016848582995951416</x:v>
      </x:c>
      <x:c r="AA114" s="21" t="n">
        <x:v>0</x:v>
      </x:c>
      <x:c r="AB114" s="21" t="n">
        <x:v>0</x:v>
      </x:c>
      <x:c r="AC114" s="21" t="n">
        <x:v>0</x:v>
      </x:c>
      <x:c r="AD114" s="21" t="n">
        <x:v>0</x:v>
      </x:c>
      <x:c r="AE114" s="21" t="n">
        <x:v>0</x:v>
      </x:c>
      <x:c r="AF114" s="21" t="n">
        <x:v>0</x:v>
      </x:c>
      <x:c r="AG114" s="21" t="n">
        <x:v>0</x:v>
      </x:c>
      <x:c r="AH114" s="21" t="n">
        <x:v>0</x:v>
      </x:c>
      <x:c r="AI114" s="21" t="n">
        <x:v>0</x:v>
      </x:c>
      <x:c r="AJ114" s="21" t="n">
        <x:v>0</x:v>
      </x:c>
      <x:c r="AK114" s="21" t="n">
        <x:v>0</x:v>
      </x:c>
      <x:c r="AL114" s="21" t="n">
        <x:v>0</x:v>
      </x:c>
      <x:c r="AM114" s="21" t="n">
        <x:v>1</x:v>
      </x:c>
      <x:c r="AN114" s="21" t="n">
        <x:v>1</x:v>
      </x:c>
      <x:c r="AO114" s="21" t="n">
        <x:v>1</x:v>
      </x:c>
      <x:c r="AP114" s="21" t="n">
        <x:v>0.96</x:v>
      </x:c>
      <x:c r="AQ114" s="21" t="n">
        <x:v>1.02</x:v>
      </x:c>
      <x:c r="AR114" s="21" t="n">
        <x:v>1</x:v>
      </x:c>
      <x:c r="AS114" s="21" t="n">
        <x:v>1</x:v>
      </x:c>
      <x:c r="AT114" s="21" t="n">
        <x:v>1</x:v>
      </x:c>
      <x:c r="AU114" s="21" t="n">
        <x:v>0</x:v>
      </x:c>
      <x:c r="AV114" s="22" t="n">
        <x:f>IF(C114="QB",N114*0.04+O114*4-P114*2+R114*0.1+S114*6,IF(OR(C114="RB",C114="WR",C114="TE"),U114*0.1+V114*6+R114*0.1+S114*6+X114*0.5+Y114*0.1+Z114*6,IF(C114="K",AC114*3+AD114*4+AE114*5+AF114,IF(C114="DST",AG114+AH114*2+AI114*6+AL114,0))))</x:f>
        <x:v>2.378572469635628</x:v>
      </x:c>
      <x:c r="AW114" s="22" t="n">
        <x:f>(AV114+AU114)*G114</x:f>
        <x:v>2.378572469635628</x:v>
      </x:c>
      <x:c r="AX114" s="22" t="n">
        <x:f>MAX(0,AW114*IF(C114="QB",0.68,IF(C114="RB",0.58,IF(C114="WR",0.52,IF(C114="TE",0.50,IF(C114="K",0.55,0.40))))))</x:f>
        <x:v>1.379572032388664</x:v>
      </x:c>
      <x:c r="AY114" s="22" t="n">
        <x:f>AW114*IF(C114="QB",1.32,IF(C114="RB",1.45,IF(C114="WR",1.55,IF(C114="TE",1.60,IF(C114="K",1.45,1.65)))))</x:f>
        <x:v>3.4489300809716603</x:v>
      </x:c>
      <x:c r="AZ114" s="12" t="str">
        <x:v>Moderate</x:v>
      </x:c>
      <x:c r="BA114" s="12" t="n">
        <x:v>8</x:v>
      </x:c>
      <x:c r="BB114" s="12" t="n">
        <x:f>COUNTIFS($C$2:$C$344,C114,$AW$2:$AW$344,"&gt;"&amp;AW114,$G$2:$G$344,"&gt;0")+COUNTIFS($C$2:C114,C114,$AW$2:AW114,AW114,$G$2:G114,"&gt;0")</x:f>
        <x:v>75</x:v>
      </x:c>
      <x:c r="BC114" s="12" t="n">
        <x:v>74</x:v>
      </x:c>
      <x:c r="BD114" s="12" t="str">
        <x:f>IF(BB114&lt;BC114,"↑",IF(BB114&gt;BC114,"↓","→"))</x:f>
        <x:v>↓</x:v>
      </x:c>
      <x:c r="BE114" s="23" t="str">
        <x:v>https://www.giants.com/news/jaxson-dart-to-miss-rest-of-regular-season-jameis-winston-to-start-quarterback-injury-john-harbaugh</x:v>
      </x:c>
      <x:c r="BF114" s="23" t="str">
        <x:v>Winston efficiency revision: receiving catches x0.95,yards x0.90,TD x0.85; targets/carries retained. More uncertain accuracy and scoring reduce receiver production; unranked residual explicitly retained in team budget.</x:v>
      </x:c>
      <x:c r="BG114" s="23" t="str">
        <x:v>Next official practice report and game-status designation</x:v>
      </x:c>
      <x:c r="BH114" s="24" t="str">
        <x:v>2026-09-24 7:40 PM CT</x:v>
      </x:c>
    </x:row>
    <x:row r="115">
      <x:c r="A115" s="12" t="str">
        <x:v>Ty Johnson</x:v>
      </x:c>
      <x:c r="B115" s="12" t="str">
        <x:v>BUF</x:v>
      </x:c>
      <x:c r="C115" s="12" t="str">
        <x:v>RB</x:v>
      </x:c>
      <x:c r="D115" s="12" t="str">
        <x:v>LAC</x:v>
      </x:c>
      <x:c r="E115" s="12" t="str">
        <x:v>Home</x:v>
      </x:c>
      <x:c r="F115" s="12" t="str">
        <x:v>2026-09-27</x:v>
      </x:c>
      <x:c r="G115" s="19" t="n">
        <x:v>1</x:v>
      </x:c>
      <x:c r="H115" s="20" t="str">
        <x:v>ACTIVE</x:v>
      </x:c>
      <x:c r="I115" s="20" t="n">
        <x:v>36</x:v>
      </x:c>
      <x:c r="J115" s="20" t="str">
        <x:v>Opportunities</x:v>
      </x:c>
      <x:c r="K115" s="20" t="n">
        <x:v>3.072874493927125</x:v>
      </x:c>
      <x:c r="L115" s="21" t="n">
        <x:v>0</x:v>
      </x:c>
      <x:c r="M115" s="21" t="n">
        <x:v>0</x:v>
      </x:c>
      <x:c r="N115" s="21" t="n">
        <x:v>0</x:v>
      </x:c>
      <x:c r="O115" s="21" t="n">
        <x:v>0</x:v>
      </x:c>
      <x:c r="P115" s="21" t="n">
        <x:v>0</x:v>
      </x:c>
      <x:c r="Q115" s="21" t="n">
        <x:v>0</x:v>
      </x:c>
      <x:c r="R115" s="21" t="n">
        <x:v>0</x:v>
      </x:c>
      <x:c r="S115" s="21" t="n">
        <x:v>0</x:v>
      </x:c>
      <x:c r="T115" s="21" t="n">
        <x:v>2.421052631578947</x:v>
      </x:c>
      <x:c r="U115" s="21" t="n">
        <x:v>11.233684210526315</x:v>
      </x:c>
      <x:c r="V115" s="21" t="n">
        <x:v>0.0774736842105263</x:v>
      </x:c>
      <x:c r="W115" s="21" t="n">
        <x:v>0.6518218623481781</x:v>
      </x:c>
      <x:c r="X115" s="21" t="n">
        <x:v>0.5028340080971659</x:v>
      </x:c>
      <x:c r="Y115" s="21" t="n">
        <x:v>4.261052631578948</x:v>
      </x:c>
      <x:c r="Z115" s="21" t="n">
        <x:v>0.019368421052631576</x:v>
      </x:c>
      <x:c r="AA115" s="21" t="n">
        <x:v>0</x:v>
      </x:c>
      <x:c r="AB115" s="21" t="n">
        <x:v>0</x:v>
      </x:c>
      <x:c r="AC115" s="21" t="n">
        <x:v>0</x:v>
      </x:c>
      <x:c r="AD115" s="21" t="n">
        <x:v>0</x:v>
      </x:c>
      <x:c r="AE115" s="21" t="n">
        <x:v>0</x:v>
      </x:c>
      <x:c r="AF115" s="21" t="n">
        <x:v>0</x:v>
      </x:c>
      <x:c r="AG115" s="21" t="n">
        <x:v>0</x:v>
      </x:c>
      <x:c r="AH115" s="21" t="n">
        <x:v>0</x:v>
      </x:c>
      <x:c r="AI115" s="21" t="n">
        <x:v>0</x:v>
      </x:c>
      <x:c r="AJ115" s="21" t="n">
        <x:v>0</x:v>
      </x:c>
      <x:c r="AK115" s="21" t="n">
        <x:v>0</x:v>
      </x:c>
      <x:c r="AL115" s="21" t="n">
        <x:v>0</x:v>
      </x:c>
      <x:c r="AM115" s="21" t="n">
        <x:v>1</x:v>
      </x:c>
      <x:c r="AN115" s="21" t="n">
        <x:v>1</x:v>
      </x:c>
      <x:c r="AO115" s="21" t="n">
        <x:v>1</x:v>
      </x:c>
      <x:c r="AP115" s="21" t="n">
        <x:v>1.04</x:v>
      </x:c>
      <x:c r="AQ115" s="21" t="n">
        <x:v>1</x:v>
      </x:c>
      <x:c r="AR115" s="21" t="n">
        <x:v>1</x:v>
      </x:c>
      <x:c r="AS115" s="21" t="n">
        <x:v>1</x:v>
      </x:c>
      <x:c r="AT115" s="21" t="n">
        <x:v>1</x:v>
      </x:c>
      <x:c r="AU115" s="21" t="n">
        <x:v>0</x:v>
      </x:c>
      <x:c r="AV115" s="22" t="n">
        <x:f>IF(C115="QB",N115*0.04+O115*4-P115*2+R115*0.1+S115*6,IF(OR(C115="RB",C115="WR",C115="TE"),U115*0.1+V115*6+R115*0.1+S115*6+X115*0.5+Y115*0.1+Z115*6,IF(C115="K",AC115*3+AD115*4+AE115*5+AF115,IF(C115="DST",AG115+AH115*2+AI115*6+AL115,0))))</x:f>
        <x:v>2.3819433198380566</x:v>
      </x:c>
      <x:c r="AW115" s="22" t="n">
        <x:f>(AV115+AU115)*G115</x:f>
        <x:v>2.3819433198380566</x:v>
      </x:c>
      <x:c r="AX115" s="22" t="n">
        <x:f>MAX(0,AW115*IF(C115="QB",0.68,IF(C115="RB",0.58,IF(C115="WR",0.52,IF(C115="TE",0.50,IF(C115="K",0.55,0.40))))))</x:f>
        <x:v>1.3815271255060728</x:v>
      </x:c>
      <x:c r="AY115" s="22" t="n">
        <x:f>AW115*IF(C115="QB",1.32,IF(C115="RB",1.45,IF(C115="WR",1.55,IF(C115="TE",1.60,IF(C115="K",1.45,1.65)))))</x:f>
        <x:v>3.453817813765182</x:v>
      </x:c>
      <x:c r="AZ115" s="12" t="str">
        <x:v>High</x:v>
      </x:c>
      <x:c r="BA115" s="12" t="n">
        <x:v>8</x:v>
      </x:c>
      <x:c r="BB115" s="12" t="n">
        <x:f>COUNTIFS($C$2:$C$344,C115,$AW$2:$AW$344,"&gt;"&amp;AW115,$G$2:$G$344,"&gt;0")+COUNTIFS($C$2:C115,C115,$AW$2:AW115,AW115,$G$2:G115,"&gt;0")</x:f>
        <x:v>74</x:v>
      </x:c>
      <x:c r="BC115" s="12" t="n">
        <x:v>75</x:v>
      </x:c>
      <x:c r="BD115" s="12" t="str">
        <x:f>IF(BB115&lt;BC115,"↑",IF(BB115&gt;BC115,"↓","→"))</x:f>
        <x:v>↑</x:v>
      </x:c>
      <x:c r="BE115" s="23" t="str">
        <x:v>Fantasy Football Brief ROS baseline; official NFL schedule</x:v>
      </x:c>
      <x:c r="BF115" s="23" t="str">
        <x:v>Current role and availability baseline; all adjustment factors shown numerically</x:v>
      </x:c>
      <x:c r="BG115" s="23" t="str">
        <x:v>Material injury, depth-chart, or role change</x:v>
      </x:c>
      <x:c r="BH115" s="24" t="str">
        <x:v>2026-09-23 10:35 CT</x:v>
      </x:c>
    </x:row>
    <x:row r="116">
      <x:c r="A116" s="12" t="str">
        <x:v>DJ Giddens</x:v>
      </x:c>
      <x:c r="B116" s="12" t="str">
        <x:v>IND</x:v>
      </x:c>
      <x:c r="C116" s="12" t="str">
        <x:v>RB</x:v>
      </x:c>
      <x:c r="D116" s="12" t="str">
        <x:v>HOU</x:v>
      </x:c>
      <x:c r="E116" s="12" t="str">
        <x:v>Home</x:v>
      </x:c>
      <x:c r="F116" s="12" t="str">
        <x:v>2026-09-27</x:v>
      </x:c>
      <x:c r="G116" s="19" t="n">
        <x:v>1</x:v>
      </x:c>
      <x:c r="H116" s="20" t="str">
        <x:v>ACTIVE</x:v>
      </x:c>
      <x:c r="I116" s="20" t="n">
        <x:v>36</x:v>
      </x:c>
      <x:c r="J116" s="20" t="str">
        <x:v>Opportunities</x:v>
      </x:c>
      <x:c r="K116" s="20" t="n">
        <x:v>3.2064777327935223</x:v>
      </x:c>
      <x:c r="L116" s="21" t="n">
        <x:v>0</x:v>
      </x:c>
      <x:c r="M116" s="21" t="n">
        <x:v>0</x:v>
      </x:c>
      <x:c r="N116" s="21" t="n">
        <x:v>0</x:v>
      </x:c>
      <x:c r="O116" s="21" t="n">
        <x:v>0</x:v>
      </x:c>
      <x:c r="P116" s="21" t="n">
        <x:v>0</x:v>
      </x:c>
      <x:c r="Q116" s="21" t="n">
        <x:v>0</x:v>
      </x:c>
      <x:c r="R116" s="21" t="n">
        <x:v>0</x:v>
      </x:c>
      <x:c r="S116" s="21" t="n">
        <x:v>0</x:v>
      </x:c>
      <x:c r="T116" s="21" t="n">
        <x:v>2.526315789473684</x:v>
      </x:c>
      <x:c r="U116" s="21" t="n">
        <x:v>10.820404858299595</x:v>
      </x:c>
      <x:c r="V116" s="21" t="n">
        <x:v>0.07462348178137652</x:v>
      </x:c>
      <x:c r="W116" s="21" t="n">
        <x:v>0.680161943319838</x:v>
      </x:c>
      <x:c r="X116" s="21" t="n">
        <x:v>0.5246963562753036</x:v>
      </x:c>
      <x:c r="Y116" s="21" t="n">
        <x:v>4.104291497975709</x:v>
      </x:c>
      <x:c r="Z116" s="21" t="n">
        <x:v>0.01865587044534413</x:v>
      </x:c>
      <x:c r="AA116" s="21" t="n">
        <x:v>0</x:v>
      </x:c>
      <x:c r="AB116" s="21" t="n">
        <x:v>0</x:v>
      </x:c>
      <x:c r="AC116" s="21" t="n">
        <x:v>0</x:v>
      </x:c>
      <x:c r="AD116" s="21" t="n">
        <x:v>0</x:v>
      </x:c>
      <x:c r="AE116" s="21" t="n">
        <x:v>0</x:v>
      </x:c>
      <x:c r="AF116" s="21" t="n">
        <x:v>0</x:v>
      </x:c>
      <x:c r="AG116" s="21" t="n">
        <x:v>0</x:v>
      </x:c>
      <x:c r="AH116" s="21" t="n">
        <x:v>0</x:v>
      </x:c>
      <x:c r="AI116" s="21" t="n">
        <x:v>0</x:v>
      </x:c>
      <x:c r="AJ116" s="21" t="n">
        <x:v>0</x:v>
      </x:c>
      <x:c r="AK116" s="21" t="n">
        <x:v>0</x:v>
      </x:c>
      <x:c r="AL116" s="21" t="n">
        <x:v>0</x:v>
      </x:c>
      <x:c r="AM116" s="21" t="n">
        <x:v>1</x:v>
      </x:c>
      <x:c r="AN116" s="21" t="n">
        <x:v>1</x:v>
      </x:c>
      <x:c r="AO116" s="21" t="n">
        <x:v>1</x:v>
      </x:c>
      <x:c r="AP116" s="21" t="n">
        <x:v>1</x:v>
      </x:c>
      <x:c r="AQ116" s="21" t="n">
        <x:v>0.96</x:v>
      </x:c>
      <x:c r="AR116" s="21" t="n">
        <x:v>1</x:v>
      </x:c>
      <x:c r="AS116" s="21" t="n">
        <x:v>1</x:v>
      </x:c>
      <x:c r="AT116" s="21" t="n">
        <x:v>1</x:v>
      </x:c>
      <x:c r="AU116" s="21" t="n">
        <x:v>0</x:v>
      </x:c>
      <x:c r="AV116" s="22" t="n">
        <x:f>IF(C116="QB",N116*0.04+O116*4-P116*2+R116*0.1+S116*6,IF(OR(C116="RB",C116="WR",C116="TE"),U116*0.1+V116*6+R116*0.1+S116*6+X116*0.5+Y116*0.1+Z116*6,IF(C116="K",AC116*3+AD116*4+AE116*5+AF116,IF(C116="DST",AG116+AH116*2+AI116*6+AL116,0))))</x:f>
        <x:v>2.314493927125506</x:v>
      </x:c>
      <x:c r="AW116" s="22" t="n">
        <x:f>(AV116+AU116)*G116</x:f>
        <x:v>2.314493927125506</x:v>
      </x:c>
      <x:c r="AX116" s="22" t="n">
        <x:f>MAX(0,AW116*IF(C116="QB",0.68,IF(C116="RB",0.58,IF(C116="WR",0.52,IF(C116="TE",0.50,IF(C116="K",0.55,0.40))))))</x:f>
        <x:v>1.3424064777327933</x:v>
      </x:c>
      <x:c r="AY116" s="22" t="n">
        <x:f>AW116*IF(C116="QB",1.32,IF(C116="RB",1.45,IF(C116="WR",1.55,IF(C116="TE",1.60,IF(C116="K",1.45,1.65)))))</x:f>
        <x:v>3.3560161943319833</x:v>
      </x:c>
      <x:c r="AZ116" s="12" t="str">
        <x:v>High</x:v>
      </x:c>
      <x:c r="BA116" s="12" t="n">
        <x:v>8</x:v>
      </x:c>
      <x:c r="BB116" s="12" t="n">
        <x:f>COUNTIFS($C$2:$C$344,C116,$AW$2:$AW$344,"&gt;"&amp;AW116,$G$2:$G$344,"&gt;0")+COUNTIFS($C$2:C116,C116,$AW$2:AW116,AW116,$G$2:G116,"&gt;0")</x:f>
        <x:v>76</x:v>
      </x:c>
      <x:c r="BC116" s="12" t="n">
        <x:v>76</x:v>
      </x:c>
      <x:c r="BD116" s="12" t="str">
        <x:f>IF(BB116&lt;BC116,"↑",IF(BB116&gt;BC116,"↓","→"))</x:f>
        <x:v>→</x:v>
      </x:c>
      <x:c r="BE116" s="23" t="str">
        <x:v>Fantasy Football Brief ROS baseline; official NFL schedule</x:v>
      </x:c>
      <x:c r="BF116" s="23" t="str">
        <x:v>Current role and availability baseline; all adjustment factors shown numerically</x:v>
      </x:c>
      <x:c r="BG116" s="23" t="str">
        <x:v>Material injury, depth-chart, or role change</x:v>
      </x:c>
      <x:c r="BH116" s="24" t="str">
        <x:v>2026-09-23 10:35 CT</x:v>
      </x:c>
    </x:row>
    <x:row r="117">
      <x:c r="A117" s="12" t="str">
        <x:v>Eli Heidenreich</x:v>
      </x:c>
      <x:c r="B117" s="12" t="str">
        <x:v>PIT</x:v>
      </x:c>
      <x:c r="C117" s="12" t="str">
        <x:v>RB</x:v>
      </x:c>
      <x:c r="D117" s="12" t="str">
        <x:v>CIN</x:v>
      </x:c>
      <x:c r="E117" s="12" t="str">
        <x:v>Home</x:v>
      </x:c>
      <x:c r="F117" s="12" t="str">
        <x:v>2026-09-27</x:v>
      </x:c>
      <x:c r="G117" s="19" t="n">
        <x:v>1</x:v>
      </x:c>
      <x:c r="H117" s="20" t="str">
        <x:v>ACTIVE</x:v>
      </x:c>
      <x:c r="I117" s="20" t="n">
        <x:v>36</x:v>
      </x:c>
      <x:c r="J117" s="20" t="str">
        <x:v>Opportunities</x:v>
      </x:c>
      <x:c r="K117" s="20" t="n">
        <x:v>2.9392712550607287</x:v>
      </x:c>
      <x:c r="L117" s="21" t="n">
        <x:v>0</x:v>
      </x:c>
      <x:c r="M117" s="21" t="n">
        <x:v>0</x:v>
      </x:c>
      <x:c r="N117" s="21" t="n">
        <x:v>0</x:v>
      </x:c>
      <x:c r="O117" s="21" t="n">
        <x:v>0</x:v>
      </x:c>
      <x:c r="P117" s="21" t="n">
        <x:v>0</x:v>
      </x:c>
      <x:c r="Q117" s="21" t="n">
        <x:v>0</x:v>
      </x:c>
      <x:c r="R117" s="21" t="n">
        <x:v>0</x:v>
      </x:c>
      <x:c r="S117" s="21" t="n">
        <x:v>0</x:v>
      </x:c>
      <x:c r="T117" s="21" t="n">
        <x:v>2.3157894736842106</x:v>
      </x:c>
      <x:c r="U117" s="21" t="n">
        <x:v>10.637810526315791</x:v>
      </x:c>
      <x:c r="V117" s="21" t="n">
        <x:v>0.07336421052631581</x:v>
      </x:c>
      <x:c r="W117" s="21" t="n">
        <x:v>0.6234817813765183</x:v>
      </x:c>
      <x:c r="X117" s="21" t="n">
        <x:v>0.4809716599190284</x:v>
      </x:c>
      <x:c r="Y117" s="21" t="n">
        <x:v>4.035031578947369</x:v>
      </x:c>
      <x:c r="Z117" s="21" t="n">
        <x:v>0.018341052631578952</x:v>
      </x:c>
      <x:c r="AA117" s="21" t="n">
        <x:v>0</x:v>
      </x:c>
      <x:c r="AB117" s="21" t="n">
        <x:v>0</x:v>
      </x:c>
      <x:c r="AC117" s="21" t="n">
        <x:v>0</x:v>
      </x:c>
      <x:c r="AD117" s="21" t="n">
        <x:v>0</x:v>
      </x:c>
      <x:c r="AE117" s="21" t="n">
        <x:v>0</x:v>
      </x:c>
      <x:c r="AF117" s="21" t="n">
        <x:v>0</x:v>
      </x:c>
      <x:c r="AG117" s="21" t="n">
        <x:v>0</x:v>
      </x:c>
      <x:c r="AH117" s="21" t="n">
        <x:v>0</x:v>
      </x:c>
      <x:c r="AI117" s="21" t="n">
        <x:v>0</x:v>
      </x:c>
      <x:c r="AJ117" s="21" t="n">
        <x:v>0</x:v>
      </x:c>
      <x:c r="AK117" s="21" t="n">
        <x:v>0</x:v>
      </x:c>
      <x:c r="AL117" s="21" t="n">
        <x:v>0</x:v>
      </x:c>
      <x:c r="AM117" s="21" t="n">
        <x:v>1</x:v>
      </x:c>
      <x:c r="AN117" s="21" t="n">
        <x:v>1</x:v>
      </x:c>
      <x:c r="AO117" s="21" t="n">
        <x:v>1</x:v>
      </x:c>
      <x:c r="AP117" s="21" t="n">
        <x:v>0.99</x:v>
      </x:c>
      <x:c r="AQ117" s="21" t="n">
        <x:v>1.04</x:v>
      </x:c>
      <x:c r="AR117" s="21" t="n">
        <x:v>1</x:v>
      </x:c>
      <x:c r="AS117" s="21" t="n">
        <x:v>1</x:v>
      </x:c>
      <x:c r="AT117" s="21" t="n">
        <x:v>1</x:v>
      </x:c>
      <x:c r="AU117" s="21" t="n">
        <x:v>0</x:v>
      </x:c>
      <x:c r="AV117" s="22" t="n">
        <x:f>IF(C117="QB",N117*0.04+O117*4-P117*2+R117*0.1+S117*6,IF(OR(C117="RB",C117="WR",C117="TE"),U117*0.1+V117*6+R117*0.1+S117*6+X117*0.5+Y117*0.1+Z117*6,IF(C117="K",AC117*3+AD117*4+AE117*5+AF117,IF(C117="DST",AG117+AH117*2+AI117*6+AL117,0))))</x:f>
        <x:v>2.258001619433199</x:v>
      </x:c>
      <x:c r="AW117" s="22" t="n">
        <x:f>(AV117+AU117)*G117</x:f>
        <x:v>2.258001619433199</x:v>
      </x:c>
      <x:c r="AX117" s="22" t="n">
        <x:f>MAX(0,AW117*IF(C117="QB",0.68,IF(C117="RB",0.58,IF(C117="WR",0.52,IF(C117="TE",0.50,IF(C117="K",0.55,0.40))))))</x:f>
        <x:v>1.3096409392712554</x:v>
      </x:c>
      <x:c r="AY117" s="22" t="n">
        <x:f>AW117*IF(C117="QB",1.32,IF(C117="RB",1.45,IF(C117="WR",1.55,IF(C117="TE",1.60,IF(C117="K",1.45,1.65)))))</x:f>
        <x:v>3.2741023481781384</x:v>
      </x:c>
      <x:c r="AZ117" s="12" t="str">
        <x:v>High</x:v>
      </x:c>
      <x:c r="BA117" s="12" t="n">
        <x:v>9</x:v>
      </x:c>
      <x:c r="BB117" s="12" t="n">
        <x:f>COUNTIFS($C$2:$C$344,C117,$AW$2:$AW$344,"&gt;"&amp;AW117,$G$2:$G$344,"&gt;0")+COUNTIFS($C$2:C117,C117,$AW$2:AW117,AW117,$G$2:G117,"&gt;0")</x:f>
        <x:v>77</x:v>
      </x:c>
      <x:c r="BC117" s="12" t="n">
        <x:v>77</x:v>
      </x:c>
      <x:c r="BD117" s="12" t="str">
        <x:f>IF(BB117&lt;BC117,"↑",IF(BB117&gt;BC117,"↓","→"))</x:f>
        <x:v>→</x:v>
      </x:c>
      <x:c r="BE117" s="23" t="str">
        <x:v>Fantasy Football Brief ROS baseline; official NFL schedule</x:v>
      </x:c>
      <x:c r="BF117" s="23" t="str">
        <x:v>Current role and availability baseline; all adjustment factors shown numerically</x:v>
      </x:c>
      <x:c r="BG117" s="23" t="str">
        <x:v>Material injury, depth-chart, or role change</x:v>
      </x:c>
      <x:c r="BH117" s="24" t="str">
        <x:v>2026-09-23 10:35 CT</x:v>
      </x:c>
    </x:row>
    <x:row r="118">
      <x:c r="A118" s="12" t="str">
        <x:v>Brashard Smith</x:v>
      </x:c>
      <x:c r="B118" s="12" t="str">
        <x:v>KC</x:v>
      </x:c>
      <x:c r="C118" s="12" t="str">
        <x:v>RB</x:v>
      </x:c>
      <x:c r="D118" s="12" t="str">
        <x:v>MIA</x:v>
      </x:c>
      <x:c r="E118" s="12" t="str">
        <x:v>Away</x:v>
      </x:c>
      <x:c r="F118" s="12" t="str">
        <x:v>2026-09-27</x:v>
      </x:c>
      <x:c r="G118" s="19" t="n">
        <x:v>1</x:v>
      </x:c>
      <x:c r="H118" s="20" t="str">
        <x:v>ACTIVE</x:v>
      </x:c>
      <x:c r="I118" s="20" t="n">
        <x:v>36</x:v>
      </x:c>
      <x:c r="J118" s="20" t="str">
        <x:v>Opportunities</x:v>
      </x:c>
      <x:c r="K118" s="20" t="n">
        <x:v>2.8056680161943324</x:v>
      </x:c>
      <x:c r="L118" s="21" t="n">
        <x:v>0</x:v>
      </x:c>
      <x:c r="M118" s="21" t="n">
        <x:v>0</x:v>
      </x:c>
      <x:c r="N118" s="21" t="n">
        <x:v>0</x:v>
      </x:c>
      <x:c r="O118" s="21" t="n">
        <x:v>0</x:v>
      </x:c>
      <x:c r="P118" s="21" t="n">
        <x:v>0</x:v>
      </x:c>
      <x:c r="Q118" s="21" t="n">
        <x:v>0</x:v>
      </x:c>
      <x:c r="R118" s="21" t="n">
        <x:v>0</x:v>
      </x:c>
      <x:c r="S118" s="21" t="n">
        <x:v>0</x:v>
      </x:c>
      <x:c r="T118" s="21" t="n">
        <x:v>2.210526315789474</x:v>
      </x:c>
      <x:c r="U118" s="21" t="n">
        <x:v>10.564547368421055</x:v>
      </x:c>
      <x:c r="V118" s="21" t="n">
        <x:v>0.07285894736842108</x:v>
      </x:c>
      <x:c r="W118" s="21" t="n">
        <x:v>0.5951417004048584</x:v>
      </x:c>
      <x:c r="X118" s="21" t="n">
        <x:v>0.45910931174089076</x:v>
      </x:c>
      <x:c r="Y118" s="21" t="n">
        <x:v>4.007242105263159</x:v>
      </x:c>
      <x:c r="Z118" s="21" t="n">
        <x:v>0.01821473684210527</x:v>
      </x:c>
      <x:c r="AA118" s="21" t="n">
        <x:v>0</x:v>
      </x:c>
      <x:c r="AB118" s="21" t="n">
        <x:v>0</x:v>
      </x:c>
      <x:c r="AC118" s="21" t="n">
        <x:v>0</x:v>
      </x:c>
      <x:c r="AD118" s="21" t="n">
        <x:v>0</x:v>
      </x:c>
      <x:c r="AE118" s="21" t="n">
        <x:v>0</x:v>
      </x:c>
      <x:c r="AF118" s="21" t="n">
        <x:v>0</x:v>
      </x:c>
      <x:c r="AG118" s="21" t="n">
        <x:v>0</x:v>
      </x:c>
      <x:c r="AH118" s="21" t="n">
        <x:v>0</x:v>
      </x:c>
      <x:c r="AI118" s="21" t="n">
        <x:v>0</x:v>
      </x:c>
      <x:c r="AJ118" s="21" t="n">
        <x:v>0</x:v>
      </x:c>
      <x:c r="AK118" s="21" t="n">
        <x:v>0</x:v>
      </x:c>
      <x:c r="AL118" s="21" t="n">
        <x:v>0</x:v>
      </x:c>
      <x:c r="AM118" s="21" t="n">
        <x:v>1</x:v>
      </x:c>
      <x:c r="AN118" s="21" t="n">
        <x:v>1</x:v>
      </x:c>
      <x:c r="AO118" s="21" t="n">
        <x:v>1</x:v>
      </x:c>
      <x:c r="AP118" s="21" t="n">
        <x:v>1.03</x:v>
      </x:c>
      <x:c r="AQ118" s="21" t="n">
        <x:v>1.04</x:v>
      </x:c>
      <x:c r="AR118" s="21" t="n">
        <x:v>1</x:v>
      </x:c>
      <x:c r="AS118" s="21" t="n">
        <x:v>1</x:v>
      </x:c>
      <x:c r="AT118" s="21" t="n">
        <x:v>1</x:v>
      </x:c>
      <x:c r="AU118" s="21" t="n">
        <x:v>0</x:v>
      </x:c>
      <x:c r="AV118" s="22" t="n">
        <x:f>IF(C118="QB",N118*0.04+O118*4-P118*2+R118*0.1+S118*6,IF(OR(C118="RB",C118="WR",C118="TE"),U118*0.1+V118*6+R118*0.1+S118*6+X118*0.5+Y118*0.1+Z118*6,IF(C118="K",AC118*3+AD118*4+AE118*5+AF118,IF(C118="DST",AG118+AH118*2+AI118*6+AL118,0))))</x:f>
        <x:v>2.2331757085020247</x:v>
      </x:c>
      <x:c r="AW118" s="22" t="n">
        <x:f>(AV118+AU118)*G118</x:f>
        <x:v>2.2331757085020247</x:v>
      </x:c>
      <x:c r="AX118" s="22" t="n">
        <x:f>MAX(0,AW118*IF(C118="QB",0.68,IF(C118="RB",0.58,IF(C118="WR",0.52,IF(C118="TE",0.50,IF(C118="K",0.55,0.40))))))</x:f>
        <x:v>1.2952419109311744</x:v>
      </x:c>
      <x:c r="AY118" s="22" t="n">
        <x:f>AW118*IF(C118="QB",1.32,IF(C118="RB",1.45,IF(C118="WR",1.55,IF(C118="TE",1.60,IF(C118="K",1.45,1.65)))))</x:f>
        <x:v>3.2381047773279357</x:v>
      </x:c>
      <x:c r="AZ118" s="12" t="str">
        <x:v>High</x:v>
      </x:c>
      <x:c r="BA118" s="12" t="n">
        <x:v>9</x:v>
      </x:c>
      <x:c r="BB118" s="12" t="n">
        <x:f>COUNTIFS($C$2:$C$344,C118,$AW$2:$AW$344,"&gt;"&amp;AW118,$G$2:$G$344,"&gt;0")+COUNTIFS($C$2:C118,C118,$AW$2:AW118,AW118,$G$2:G118,"&gt;0")</x:f>
        <x:v>78</x:v>
      </x:c>
      <x:c r="BC118" s="12" t="n">
        <x:v>78</x:v>
      </x:c>
      <x:c r="BD118" s="12" t="str">
        <x:f>IF(BB118&lt;BC118,"↑",IF(BB118&gt;BC118,"↓","→"))</x:f>
        <x:v>→</x:v>
      </x:c>
      <x:c r="BE118" s="23" t="str">
        <x:v>Fantasy Football Brief ROS baseline; official NFL schedule</x:v>
      </x:c>
      <x:c r="BF118" s="23" t="str">
        <x:v>Current role and availability baseline; all adjustment factors shown numerically</x:v>
      </x:c>
      <x:c r="BG118" s="23" t="str">
        <x:v>Material injury, depth-chart, or role change</x:v>
      </x:c>
      <x:c r="BH118" s="24" t="str">
        <x:v>2026-09-23 10:35 CT</x:v>
      </x:c>
    </x:row>
    <x:row r="119">
      <x:c r="A119" s="12" t="str">
        <x:v>Will Shipley</x:v>
      </x:c>
      <x:c r="B119" s="12" t="str">
        <x:v>PHI</x:v>
      </x:c>
      <x:c r="C119" s="12" t="str">
        <x:v>RB</x:v>
      </x:c>
      <x:c r="D119" s="12" t="str">
        <x:v>CHI</x:v>
      </x:c>
      <x:c r="E119" s="12" t="str">
        <x:v>Away</x:v>
      </x:c>
      <x:c r="F119" s="12" t="str">
        <x:v>2026-09-28</x:v>
      </x:c>
      <x:c r="G119" s="19" t="n">
        <x:v>1</x:v>
      </x:c>
      <x:c r="H119" s="20" t="str">
        <x:v>ACTIVE</x:v>
      </x:c>
      <x:c r="I119" s="20" t="n">
        <x:v>36</x:v>
      </x:c>
      <x:c r="J119" s="20" t="str">
        <x:v>Opportunities</x:v>
      </x:c>
      <x:c r="K119" s="20" t="n">
        <x:v>2.8056680161943324</x:v>
      </x:c>
      <x:c r="L119" s="21" t="n">
        <x:v>0</x:v>
      </x:c>
      <x:c r="M119" s="21" t="n">
        <x:v>0</x:v>
      </x:c>
      <x:c r="N119" s="21" t="n">
        <x:v>0</x:v>
      </x:c>
      <x:c r="O119" s="21" t="n">
        <x:v>0</x:v>
      </x:c>
      <x:c r="P119" s="21" t="n">
        <x:v>0</x:v>
      </x:c>
      <x:c r="Q119" s="21" t="n">
        <x:v>0</x:v>
      </x:c>
      <x:c r="R119" s="21" t="n">
        <x:v>0</x:v>
      </x:c>
      <x:c r="S119" s="21" t="n">
        <x:v>0</x:v>
      </x:c>
      <x:c r="T119" s="21" t="n">
        <x:v>2.210526315789474</x:v>
      </x:c>
      <x:c r="U119" s="21" t="n">
        <x:v>10.361382995951418</x:v>
      </x:c>
      <x:c r="V119" s="21" t="n">
        <x:v>0.07145781376518219</x:v>
      </x:c>
      <x:c r="W119" s="21" t="n">
        <x:v>0.5951417004048584</x:v>
      </x:c>
      <x:c r="X119" s="21" t="n">
        <x:v>0.45910931174089076</x:v>
      </x:c>
      <x:c r="Y119" s="21" t="n">
        <x:v>3.9301797570850208</x:v>
      </x:c>
      <x:c r="Z119" s="21" t="n">
        <x:v>0.017864453441295548</x:v>
      </x:c>
      <x:c r="AA119" s="21" t="n">
        <x:v>0</x:v>
      </x:c>
      <x:c r="AB119" s="21" t="n">
        <x:v>0</x:v>
      </x:c>
      <x:c r="AC119" s="21" t="n">
        <x:v>0</x:v>
      </x:c>
      <x:c r="AD119" s="21" t="n">
        <x:v>0</x:v>
      </x:c>
      <x:c r="AE119" s="21" t="n">
        <x:v>0</x:v>
      </x:c>
      <x:c r="AF119" s="21" t="n">
        <x:v>0</x:v>
      </x:c>
      <x:c r="AG119" s="21" t="n">
        <x:v>0</x:v>
      </x:c>
      <x:c r="AH119" s="21" t="n">
        <x:v>0</x:v>
      </x:c>
      <x:c r="AI119" s="21" t="n">
        <x:v>0</x:v>
      </x:c>
      <x:c r="AJ119" s="21" t="n">
        <x:v>0</x:v>
      </x:c>
      <x:c r="AK119" s="21" t="n">
        <x:v>0</x:v>
      </x:c>
      <x:c r="AL119" s="21" t="n">
        <x:v>0</x:v>
      </x:c>
      <x:c r="AM119" s="21" t="n">
        <x:v>1</x:v>
      </x:c>
      <x:c r="AN119" s="21" t="n">
        <x:v>1</x:v>
      </x:c>
      <x:c r="AO119" s="21" t="n">
        <x:v>1</x:v>
      </x:c>
      <x:c r="AP119" s="21" t="n">
        <x:v>1.03</x:v>
      </x:c>
      <x:c r="AQ119" s="21" t="n">
        <x:v>1.02</x:v>
      </x:c>
      <x:c r="AR119" s="21" t="n">
        <x:v>1</x:v>
      </x:c>
      <x:c r="AS119" s="21" t="n">
        <x:v>1</x:v>
      </x:c>
      <x:c r="AT119" s="21" t="n">
        <x:v>1</x:v>
      </x:c>
      <x:c r="AU119" s="21" t="n">
        <x:v>0</x:v>
      </x:c>
      <x:c r="AV119" s="22" t="n">
        <x:f>IF(C119="QB",N119*0.04+O119*4-P119*2+R119*0.1+S119*6,IF(OR(C119="RB",C119="WR",C119="TE"),U119*0.1+V119*6+R119*0.1+S119*6+X119*0.5+Y119*0.1+Z119*6,IF(C119="K",AC119*3+AD119*4+AE119*5+AF119,IF(C119="DST",AG119+AH119*2+AI119*6+AL119,0))))</x:f>
        <x:v>2.194644534412956</x:v>
      </x:c>
      <x:c r="AW119" s="22" t="n">
        <x:f>(AV119+AU119)*G119</x:f>
        <x:v>2.194644534412956</x:v>
      </x:c>
      <x:c r="AX119" s="22" t="n">
        <x:f>MAX(0,AW119*IF(C119="QB",0.68,IF(C119="RB",0.58,IF(C119="WR",0.52,IF(C119="TE",0.50,IF(C119="K",0.55,0.40))))))</x:f>
        <x:v>1.2728938299595143</x:v>
      </x:c>
      <x:c r="AY119" s="22" t="n">
        <x:f>AW119*IF(C119="QB",1.32,IF(C119="RB",1.45,IF(C119="WR",1.55,IF(C119="TE",1.60,IF(C119="K",1.45,1.65)))))</x:f>
        <x:v>3.182234574898786</x:v>
      </x:c>
      <x:c r="AZ119" s="12" t="str">
        <x:v>High</x:v>
      </x:c>
      <x:c r="BA119" s="12" t="n">
        <x:v>9</x:v>
      </x:c>
      <x:c r="BB119" s="12" t="n">
        <x:f>COUNTIFS($C$2:$C$344,C119,$AW$2:$AW$344,"&gt;"&amp;AW119,$G$2:$G$344,"&gt;0")+COUNTIFS($C$2:C119,C119,$AW$2:AW119,AW119,$G$2:G119,"&gt;0")</x:f>
        <x:v>79</x:v>
      </x:c>
      <x:c r="BC119" s="12" t="n">
        <x:v>79</x:v>
      </x:c>
      <x:c r="BD119" s="12" t="str">
        <x:f>IF(BB119&lt;BC119,"↑",IF(BB119&gt;BC119,"↓","→"))</x:f>
        <x:v>→</x:v>
      </x:c>
      <x:c r="BE119" s="23" t="str">
        <x:v>Fantasy Football Brief ROS baseline; official NFL schedule</x:v>
      </x:c>
      <x:c r="BF119" s="23" t="str">
        <x:v>Current role and availability baseline; all adjustment factors shown numerically</x:v>
      </x:c>
      <x:c r="BG119" s="23" t="str">
        <x:v>Material injury, depth-chart, or role change</x:v>
      </x:c>
      <x:c r="BH119" s="24" t="str">
        <x:v>2026-09-23 10:35 CT</x:v>
      </x:c>
    </x:row>
    <x:row r="120">
      <x:c r="A120" s="12" t="str">
        <x:v>Emari Demercado</x:v>
      </x:c>
      <x:c r="B120" s="12" t="str">
        <x:v>DAL</x:v>
      </x:c>
      <x:c r="C120" s="12" t="str">
        <x:v>RB</x:v>
      </x:c>
      <x:c r="D120" s="12" t="str">
        <x:v>BAL</x:v>
      </x:c>
      <x:c r="E120" s="12" t="str">
        <x:v>Home</x:v>
      </x:c>
      <x:c r="F120" s="12" t="str">
        <x:v>2026-09-27</x:v>
      </x:c>
      <x:c r="G120" s="19" t="n">
        <x:v>1</x:v>
      </x:c>
      <x:c r="H120" s="20" t="str">
        <x:v>ACTIVE</x:v>
      </x:c>
      <x:c r="I120" s="20" t="n">
        <x:v>36</x:v>
      </x:c>
      <x:c r="J120" s="20" t="str">
        <x:v>Opportunities</x:v>
      </x:c>
      <x:c r="K120" s="20" t="n">
        <x:v>3.072874493927125</x:v>
      </x:c>
      <x:c r="L120" s="21" t="n">
        <x:v>0</x:v>
      </x:c>
      <x:c r="M120" s="21" t="n">
        <x:v>0</x:v>
      </x:c>
      <x:c r="N120" s="21" t="n">
        <x:v>0</x:v>
      </x:c>
      <x:c r="O120" s="21" t="n">
        <x:v>0</x:v>
      </x:c>
      <x:c r="P120" s="21" t="n">
        <x:v>0</x:v>
      </x:c>
      <x:c r="Q120" s="21" t="n">
        <x:v>0</x:v>
      </x:c>
      <x:c r="R120" s="21" t="n">
        <x:v>0</x:v>
      </x:c>
      <x:c r="S120" s="21" t="n">
        <x:v>0</x:v>
      </x:c>
      <x:c r="T120" s="21" t="n">
        <x:v>2.421052631578947</x:v>
      </x:c>
      <x:c r="U120" s="21" t="n">
        <x:v>10.153522267206476</x:v>
      </x:c>
      <x:c r="V120" s="21" t="n">
        <x:v>0.07002429149797569</x:v>
      </x:c>
      <x:c r="W120" s="21" t="n">
        <x:v>0.6518218623481781</x:v>
      </x:c>
      <x:c r="X120" s="21" t="n">
        <x:v>0.5028340080971659</x:v>
      </x:c>
      <x:c r="Y120" s="21" t="n">
        <x:v>3.8513360323886636</x:v>
      </x:c>
      <x:c r="Z120" s="21" t="n">
        <x:v>0.017506072874493923</x:v>
      </x:c>
      <x:c r="AA120" s="21" t="n">
        <x:v>0</x:v>
      </x:c>
      <x:c r="AB120" s="21" t="n">
        <x:v>0</x:v>
      </x:c>
      <x:c r="AC120" s="21" t="n">
        <x:v>0</x:v>
      </x:c>
      <x:c r="AD120" s="21" t="n">
        <x:v>0</x:v>
      </x:c>
      <x:c r="AE120" s="21" t="n">
        <x:v>0</x:v>
      </x:c>
      <x:c r="AF120" s="21" t="n">
        <x:v>0</x:v>
      </x:c>
      <x:c r="AG120" s="21" t="n">
        <x:v>0</x:v>
      </x:c>
      <x:c r="AH120" s="21" t="n">
        <x:v>0</x:v>
      </x:c>
      <x:c r="AI120" s="21" t="n">
        <x:v>0</x:v>
      </x:c>
      <x:c r="AJ120" s="21" t="n">
        <x:v>0</x:v>
      </x:c>
      <x:c r="AK120" s="21" t="n">
        <x:v>0</x:v>
      </x:c>
      <x:c r="AL120" s="21" t="n">
        <x:v>0</x:v>
      </x:c>
      <x:c r="AM120" s="21" t="n">
        <x:v>1</x:v>
      </x:c>
      <x:c r="AN120" s="21" t="n">
        <x:v>1</x:v>
      </x:c>
      <x:c r="AO120" s="21" t="n">
        <x:v>1</x:v>
      </x:c>
      <x:c r="AP120" s="21" t="n">
        <x:v>1</x:v>
      </x:c>
      <x:c r="AQ120" s="21" t="n">
        <x:v>0.94</x:v>
      </x:c>
      <x:c r="AR120" s="21" t="n">
        <x:v>1</x:v>
      </x:c>
      <x:c r="AS120" s="21" t="n">
        <x:v>1</x:v>
      </x:c>
      <x:c r="AT120" s="21" t="n">
        <x:v>1</x:v>
      </x:c>
      <x:c r="AU120" s="21" t="n">
        <x:v>0</x:v>
      </x:c>
      <x:c r="AV120" s="22" t="n">
        <x:f>IF(C120="QB",N120*0.04+O120*4-P120*2+R120*0.1+S120*6,IF(OR(C120="RB",C120="WR",C120="TE"),U120*0.1+V120*6+R120*0.1+S120*6+X120*0.5+Y120*0.1+Z120*6,IF(C120="K",AC120*3+AD120*4+AE120*5+AF120,IF(C120="DST",AG120+AH120*2+AI120*6+AL120,0))))</x:f>
        <x:v>2.177085020242915</x:v>
      </x:c>
      <x:c r="AW120" s="22" t="n">
        <x:f>(AV120+AU120)*G120</x:f>
        <x:v>2.177085020242915</x:v>
      </x:c>
      <x:c r="AX120" s="22" t="n">
        <x:f>MAX(0,AW120*IF(C120="QB",0.68,IF(C120="RB",0.58,IF(C120="WR",0.52,IF(C120="TE",0.50,IF(C120="K",0.55,0.40))))))</x:f>
        <x:v>1.2627093117408905</x:v>
      </x:c>
      <x:c r="AY120" s="22" t="n">
        <x:f>AW120*IF(C120="QB",1.32,IF(C120="RB",1.45,IF(C120="WR",1.55,IF(C120="TE",1.60,IF(C120="K",1.45,1.65)))))</x:f>
        <x:v>3.1567732793522265</x:v>
      </x:c>
      <x:c r="AZ120" s="12" t="str">
        <x:v>High</x:v>
      </x:c>
      <x:c r="BA120" s="12" t="n">
        <x:v>9</x:v>
      </x:c>
      <x:c r="BB120" s="12" t="n">
        <x:f>COUNTIFS($C$2:$C$344,C120,$AW$2:$AW$344,"&gt;"&amp;AW120,$G$2:$G$344,"&gt;0")+COUNTIFS($C$2:C120,C120,$AW$2:AW120,AW120,$G$2:G120,"&gt;0")</x:f>
        <x:v>80</x:v>
      </x:c>
      <x:c r="BC120" s="12" t="n">
        <x:v>80</x:v>
      </x:c>
      <x:c r="BD120" s="12" t="str">
        <x:f>IF(BB120&lt;BC120,"↑",IF(BB120&gt;BC120,"↓","→"))</x:f>
        <x:v>→</x:v>
      </x:c>
      <x:c r="BE120" s="23" t="str">
        <x:v>Fantasy Football Brief ROS baseline; official NFL schedule</x:v>
      </x:c>
      <x:c r="BF120" s="23" t="str">
        <x:v>Current role and availability baseline; all adjustment factors shown numerically</x:v>
      </x:c>
      <x:c r="BG120" s="23" t="str">
        <x:v>Material injury, depth-chart, or role change</x:v>
      </x:c>
      <x:c r="BH120" s="24" t="str">
        <x:v>2026-09-23 10:35 CT</x:v>
      </x:c>
    </x:row>
    <x:row r="121">
      <x:c r="A121" s="12" t="str">
        <x:v>Isaiah Davis</x:v>
      </x:c>
      <x:c r="B121" s="12" t="str">
        <x:v>NYJ</x:v>
      </x:c>
      <x:c r="C121" s="12" t="str">
        <x:v>RB</x:v>
      </x:c>
      <x:c r="D121" s="12" t="str">
        <x:v>DET</x:v>
      </x:c>
      <x:c r="E121" s="12" t="str">
        <x:v>Away</x:v>
      </x:c>
      <x:c r="F121" s="12" t="str">
        <x:v>2026-09-27</x:v>
      </x:c>
      <x:c r="G121" s="19" t="n">
        <x:v>1</x:v>
      </x:c>
      <x:c r="H121" s="20" t="str">
        <x:v>ACTIVE</x:v>
      </x:c>
      <x:c r="I121" s="20" t="n">
        <x:v>36</x:v>
      </x:c>
      <x:c r="J121" s="20" t="str">
        <x:v>Opportunities</x:v>
      </x:c>
      <x:c r="K121" s="20" t="n">
        <x:v>2.9392712550607287</x:v>
      </x:c>
      <x:c r="L121" s="21" t="n">
        <x:v>0</x:v>
      </x:c>
      <x:c r="M121" s="21" t="n">
        <x:v>0</x:v>
      </x:c>
      <x:c r="N121" s="21" t="n">
        <x:v>0</x:v>
      </x:c>
      <x:c r="O121" s="21" t="n">
        <x:v>0</x:v>
      </x:c>
      <x:c r="P121" s="21" t="n">
        <x:v>0</x:v>
      </x:c>
      <x:c r="Q121" s="21" t="n">
        <x:v>0</x:v>
      </x:c>
      <x:c r="R121" s="21" t="n">
        <x:v>0</x:v>
      </x:c>
      <x:c r="S121" s="21" t="n">
        <x:v>0</x:v>
      </x:c>
      <x:c r="T121" s="21" t="n">
        <x:v>2.3157894736842106</x:v>
      </x:c>
      <x:c r="U121" s="21" t="n">
        <x:v>10.022024291497976</x:v>
      </x:c>
      <x:c r="V121" s="21" t="n">
        <x:v>0.0691174089068826</x:v>
      </x:c>
      <x:c r="W121" s="21" t="n">
        <x:v>0.6234817813765183</x:v>
      </x:c>
      <x:c r="X121" s="21" t="n">
        <x:v>0.4809716599190284</x:v>
      </x:c>
      <x:c r="Y121" s="21" t="n">
        <x:v>3.801457489878543</x:v>
      </x:c>
      <x:c r="Z121" s="21" t="n">
        <x:v>0.01727935222672065</x:v>
      </x:c>
      <x:c r="AA121" s="21" t="n">
        <x:v>0</x:v>
      </x:c>
      <x:c r="AB121" s="21" t="n">
        <x:v>0</x:v>
      </x:c>
      <x:c r="AC121" s="21" t="n">
        <x:v>0</x:v>
      </x:c>
      <x:c r="AD121" s="21" t="n">
        <x:v>0</x:v>
      </x:c>
      <x:c r="AE121" s="21" t="n">
        <x:v>0</x:v>
      </x:c>
      <x:c r="AF121" s="21" t="n">
        <x:v>0</x:v>
      </x:c>
      <x:c r="AG121" s="21" t="n">
        <x:v>0</x:v>
      </x:c>
      <x:c r="AH121" s="21" t="n">
        <x:v>0</x:v>
      </x:c>
      <x:c r="AI121" s="21" t="n">
        <x:v>0</x:v>
      </x:c>
      <x:c r="AJ121" s="21" t="n">
        <x:v>0</x:v>
      </x:c>
      <x:c r="AK121" s="21" t="n">
        <x:v>0</x:v>
      </x:c>
      <x:c r="AL121" s="21" t="n">
        <x:v>0</x:v>
      </x:c>
      <x:c r="AM121" s="21" t="n">
        <x:v>1</x:v>
      </x:c>
      <x:c r="AN121" s="21" t="n">
        <x:v>1</x:v>
      </x:c>
      <x:c r="AO121" s="21" t="n">
        <x:v>1</x:v>
      </x:c>
      <x:c r="AP121" s="21" t="n">
        <x:v>0.97</x:v>
      </x:c>
      <x:c r="AQ121" s="21" t="n">
        <x:v>1</x:v>
      </x:c>
      <x:c r="AR121" s="21" t="n">
        <x:v>1</x:v>
      </x:c>
      <x:c r="AS121" s="21" t="n">
        <x:v>1</x:v>
      </x:c>
      <x:c r="AT121" s="21" t="n">
        <x:v>1</x:v>
      </x:c>
      <x:c r="AU121" s="21" t="n">
        <x:v>0</x:v>
      </x:c>
      <x:c r="AV121" s="22" t="n">
        <x:f>IF(C121="QB",N121*0.04+O121*4-P121*2+R121*0.1+S121*6,IF(OR(C121="RB",C121="WR",C121="TE"),U121*0.1+V121*6+R121*0.1+S121*6+X121*0.5+Y121*0.1+Z121*6,IF(C121="K",AC121*3+AD121*4+AE121*5+AF121,IF(C121="DST",AG121+AH121*2+AI121*6+AL121,0))))</x:f>
        <x:v>2.141214574898786</x:v>
      </x:c>
      <x:c r="AW121" s="22" t="n">
        <x:f>(AV121+AU121)*G121</x:f>
        <x:v>2.141214574898786</x:v>
      </x:c>
      <x:c r="AX121" s="22" t="n">
        <x:f>MAX(0,AW121*IF(C121="QB",0.68,IF(C121="RB",0.58,IF(C121="WR",0.52,IF(C121="TE",0.50,IF(C121="K",0.55,0.40))))))</x:f>
        <x:v>1.2419044534412957</x:v>
      </x:c>
      <x:c r="AY121" s="22" t="n">
        <x:f>AW121*IF(C121="QB",1.32,IF(C121="RB",1.45,IF(C121="WR",1.55,IF(C121="TE",1.60,IF(C121="K",1.45,1.65)))))</x:f>
        <x:v>3.10476113360324</x:v>
      </x:c>
      <x:c r="AZ121" s="12" t="str">
        <x:v>High</x:v>
      </x:c>
      <x:c r="BA121" s="12" t="n">
        <x:v>9</x:v>
      </x:c>
      <x:c r="BB121" s="12" t="n">
        <x:f>COUNTIFS($C$2:$C$344,C121,$AW$2:$AW$344,"&gt;"&amp;AW121,$G$2:$G$344,"&gt;0")+COUNTIFS($C$2:C121,C121,$AW$2:AW121,AW121,$G$2:G121,"&gt;0")</x:f>
        <x:v>81</x:v>
      </x:c>
      <x:c r="BC121" s="12" t="n">
        <x:v>81</x:v>
      </x:c>
      <x:c r="BD121" s="12" t="str">
        <x:f>IF(BB121&lt;BC121,"↑",IF(BB121&gt;BC121,"↓","→"))</x:f>
        <x:v>→</x:v>
      </x:c>
      <x:c r="BE121" s="23" t="str">
        <x:v>Fantasy Football Brief ROS baseline; official NFL schedule</x:v>
      </x:c>
      <x:c r="BF121" s="23" t="str">
        <x:v>Current role and availability baseline; all adjustment factors shown numerically</x:v>
      </x:c>
      <x:c r="BG121" s="23" t="str">
        <x:v>Material injury, depth-chart, or role change</x:v>
      </x:c>
      <x:c r="BH121" s="24" t="str">
        <x:v>2026-09-23 10:35 CT</x:v>
      </x:c>
    </x:row>
    <x:row r="122">
      <x:c r="A122" s="12" t="str">
        <x:v>Jaydon Blue</x:v>
      </x:c>
      <x:c r="B122" s="12" t="str">
        <x:v>PHI</x:v>
      </x:c>
      <x:c r="C122" s="12" t="str">
        <x:v>RB</x:v>
      </x:c>
      <x:c r="D122" s="12" t="str">
        <x:v>CHI</x:v>
      </x:c>
      <x:c r="E122" s="12" t="str">
        <x:v>Away</x:v>
      </x:c>
      <x:c r="F122" s="12" t="str">
        <x:v>2026-09-28</x:v>
      </x:c>
      <x:c r="G122" s="19" t="n">
        <x:v>1</x:v>
      </x:c>
      <x:c r="H122" s="20" t="str">
        <x:v>ACTIVE</x:v>
      </x:c>
      <x:c r="I122" s="20" t="n">
        <x:v>36</x:v>
      </x:c>
      <x:c r="J122" s="20" t="str">
        <x:v>Opportunities</x:v>
      </x:c>
      <x:c r="K122" s="20" t="n">
        <x:v>2.672064777327935</x:v>
      </x:c>
      <x:c r="L122" s="21" t="n">
        <x:v>0</x:v>
      </x:c>
      <x:c r="M122" s="21" t="n">
        <x:v>0</x:v>
      </x:c>
      <x:c r="N122" s="21" t="n">
        <x:v>0</x:v>
      </x:c>
      <x:c r="O122" s="21" t="n">
        <x:v>0</x:v>
      </x:c>
      <x:c r="P122" s="21" t="n">
        <x:v>0</x:v>
      </x:c>
      <x:c r="Q122" s="21" t="n">
        <x:v>0</x:v>
      </x:c>
      <x:c r="R122" s="21" t="n">
        <x:v>0</x:v>
      </x:c>
      <x:c r="S122" s="21" t="n">
        <x:v>0</x:v>
      </x:c>
      <x:c r="T122" s="21" t="n">
        <x:v>2.1052631578947367</x:v>
      </x:c>
      <x:c r="U122" s="21" t="n">
        <x:v>9.867983805668016</x:v>
      </x:c>
      <x:c r="V122" s="21" t="n">
        <x:v>0.06805506072874494</x:v>
      </x:c>
      <x:c r="W122" s="21" t="n">
        <x:v>0.5668016194331984</x:v>
      </x:c>
      <x:c r="X122" s="21" t="n">
        <x:v>0.43724696356275305</x:v>
      </x:c>
      <x:c r="Y122" s="21" t="n">
        <x:v>3.7430283400809716</x:v>
      </x:c>
      <x:c r="Z122" s="21" t="n">
        <x:v>0.017013765182186235</x:v>
      </x:c>
      <x:c r="AA122" s="21" t="n">
        <x:v>0</x:v>
      </x:c>
      <x:c r="AB122" s="21" t="n">
        <x:v>0</x:v>
      </x:c>
      <x:c r="AC122" s="21" t="n">
        <x:v>0</x:v>
      </x:c>
      <x:c r="AD122" s="21" t="n">
        <x:v>0</x:v>
      </x:c>
      <x:c r="AE122" s="21" t="n">
        <x:v>0</x:v>
      </x:c>
      <x:c r="AF122" s="21" t="n">
        <x:v>0</x:v>
      </x:c>
      <x:c r="AG122" s="21" t="n">
        <x:v>0</x:v>
      </x:c>
      <x:c r="AH122" s="21" t="n">
        <x:v>0</x:v>
      </x:c>
      <x:c r="AI122" s="21" t="n">
        <x:v>0</x:v>
      </x:c>
      <x:c r="AJ122" s="21" t="n">
        <x:v>0</x:v>
      </x:c>
      <x:c r="AK122" s="21" t="n">
        <x:v>0</x:v>
      </x:c>
      <x:c r="AL122" s="21" t="n">
        <x:v>0</x:v>
      </x:c>
      <x:c r="AM122" s="21" t="n">
        <x:v>1</x:v>
      </x:c>
      <x:c r="AN122" s="21" t="n">
        <x:v>1</x:v>
      </x:c>
      <x:c r="AO122" s="21" t="n">
        <x:v>1</x:v>
      </x:c>
      <x:c r="AP122" s="21" t="n">
        <x:v>1.03</x:v>
      </x:c>
      <x:c r="AQ122" s="21" t="n">
        <x:v>1.02</x:v>
      </x:c>
      <x:c r="AR122" s="21" t="n">
        <x:v>1</x:v>
      </x:c>
      <x:c r="AS122" s="21" t="n">
        <x:v>1</x:v>
      </x:c>
      <x:c r="AT122" s="21" t="n">
        <x:v>1</x:v>
      </x:c>
      <x:c r="AU122" s="21" t="n">
        <x:v>0</x:v>
      </x:c>
      <x:c r="AV122" s="22" t="n">
        <x:f>IF(C122="QB",N122*0.04+O122*4-P122*2+R122*0.1+S122*6,IF(OR(C122="RB",C122="WR",C122="TE"),U122*0.1+V122*6+R122*0.1+S122*6+X122*0.5+Y122*0.1+Z122*6,IF(C122="K",AC122*3+AD122*4+AE122*5+AF122,IF(C122="DST",AG122+AH122*2+AI122*6+AL122,0))))</x:f>
        <x:v>2.0901376518218626</x:v>
      </x:c>
      <x:c r="AW122" s="22" t="n">
        <x:f>(AV122+AU122)*G122</x:f>
        <x:v>2.0901376518218626</x:v>
      </x:c>
      <x:c r="AX122" s="22" t="n">
        <x:f>MAX(0,AW122*IF(C122="QB",0.68,IF(C122="RB",0.58,IF(C122="WR",0.52,IF(C122="TE",0.50,IF(C122="K",0.55,0.40))))))</x:f>
        <x:v>1.2122798380566802</x:v>
      </x:c>
      <x:c r="AY122" s="22" t="n">
        <x:f>AW122*IF(C122="QB",1.32,IF(C122="RB",1.45,IF(C122="WR",1.55,IF(C122="TE",1.60,IF(C122="K",1.45,1.65)))))</x:f>
        <x:v>3.0306995951417006</x:v>
      </x:c>
      <x:c r="AZ122" s="12" t="str">
        <x:v>High</x:v>
      </x:c>
      <x:c r="BA122" s="12" t="n">
        <x:v>9</x:v>
      </x:c>
      <x:c r="BB122" s="12" t="n">
        <x:f>COUNTIFS($C$2:$C$344,C122,$AW$2:$AW$344,"&gt;"&amp;AW122,$G$2:$G$344,"&gt;0")+COUNTIFS($C$2:C122,C122,$AW$2:AW122,AW122,$G$2:G122,"&gt;0")</x:f>
        <x:v>82</x:v>
      </x:c>
      <x:c r="BC122" s="12" t="n">
        <x:v>82</x:v>
      </x:c>
      <x:c r="BD122" s="12" t="str">
        <x:f>IF(BB122&lt;BC122,"↑",IF(BB122&gt;BC122,"↓","→"))</x:f>
        <x:v>→</x:v>
      </x:c>
      <x:c r="BE122" s="23" t="str">
        <x:v>Fantasy Football Brief ROS baseline; official NFL schedule</x:v>
      </x:c>
      <x:c r="BF122" s="23" t="str">
        <x:v>Current role and availability baseline; all adjustment factors shown numerically</x:v>
      </x:c>
      <x:c r="BG122" s="23" t="str">
        <x:v>Material injury, depth-chart, or role change</x:v>
      </x:c>
      <x:c r="BH122" s="24" t="str">
        <x:v>2026-09-23 10:35 CT</x:v>
      </x:c>
    </x:row>
    <x:row r="123">
      <x:c r="A123" s="12" t="str">
        <x:v>Raheim Sanders</x:v>
      </x:c>
      <x:c r="B123" s="12" t="str">
        <x:v>CLE</x:v>
      </x:c>
      <x:c r="C123" s="12" t="str">
        <x:v>RB</x:v>
      </x:c>
      <x:c r="D123" s="12" t="str">
        <x:v>CAR</x:v>
      </x:c>
      <x:c r="E123" s="12" t="str">
        <x:v>Home</x:v>
      </x:c>
      <x:c r="F123" s="12" t="str">
        <x:v>2026-09-27</x:v>
      </x:c>
      <x:c r="G123" s="19" t="n">
        <x:v>1</x:v>
      </x:c>
      <x:c r="H123" s="20" t="str">
        <x:v>ACTIVE</x:v>
      </x:c>
      <x:c r="I123" s="20" t="n">
        <x:v>36</x:v>
      </x:c>
      <x:c r="J123" s="20" t="str">
        <x:v>Opportunities</x:v>
      </x:c>
      <x:c r="K123" s="20" t="n">
        <x:v>2.672064777327935</x:v>
      </x:c>
      <x:c r="L123" s="21" t="n">
        <x:v>0</x:v>
      </x:c>
      <x:c r="M123" s="21" t="n">
        <x:v>0</x:v>
      </x:c>
      <x:c r="N123" s="21" t="n">
        <x:v>0</x:v>
      </x:c>
      <x:c r="O123" s="21" t="n">
        <x:v>0</x:v>
      </x:c>
      <x:c r="P123" s="21" t="n">
        <x:v>0</x:v>
      </x:c>
      <x:c r="Q123" s="21" t="n">
        <x:v>0</x:v>
      </x:c>
      <x:c r="R123" s="21" t="n">
        <x:v>0</x:v>
      </x:c>
      <x:c r="S123" s="21" t="n">
        <x:v>0</x:v>
      </x:c>
      <x:c r="T123" s="21" t="n">
        <x:v>2.1052631578947367</x:v>
      </x:c>
      <x:c r="U123" s="21" t="n">
        <x:v>9.748696356275303</x:v>
      </x:c>
      <x:c r="V123" s="21" t="n">
        <x:v>0.06723238866396762</x:v>
      </x:c>
      <x:c r="W123" s="21" t="n">
        <x:v>0.5668016194331984</x:v>
      </x:c>
      <x:c r="X123" s="21" t="n">
        <x:v>0.43724696356275305</x:v>
      </x:c>
      <x:c r="Y123" s="21" t="n">
        <x:v>3.697781376518219</x:v>
      </x:c>
      <x:c r="Z123" s="21" t="n">
        <x:v>0.016808097165991905</x:v>
      </x:c>
      <x:c r="AA123" s="21" t="n">
        <x:v>0</x:v>
      </x:c>
      <x:c r="AB123" s="21" t="n">
        <x:v>0</x:v>
      </x:c>
      <x:c r="AC123" s="21" t="n">
        <x:v>0</x:v>
      </x:c>
      <x:c r="AD123" s="21" t="n">
        <x:v>0</x:v>
      </x:c>
      <x:c r="AE123" s="21" t="n">
        <x:v>0</x:v>
      </x:c>
      <x:c r="AF123" s="21" t="n">
        <x:v>0</x:v>
      </x:c>
      <x:c r="AG123" s="21" t="n">
        <x:v>0</x:v>
      </x:c>
      <x:c r="AH123" s="21" t="n">
        <x:v>0</x:v>
      </x:c>
      <x:c r="AI123" s="21" t="n">
        <x:v>0</x:v>
      </x:c>
      <x:c r="AJ123" s="21" t="n">
        <x:v>0</x:v>
      </x:c>
      <x:c r="AK123" s="21" t="n">
        <x:v>0</x:v>
      </x:c>
      <x:c r="AL123" s="21" t="n">
        <x:v>0</x:v>
      </x:c>
      <x:c r="AM123" s="21" t="n">
        <x:v>1</x:v>
      </x:c>
      <x:c r="AN123" s="21" t="n">
        <x:v>1</x:v>
      </x:c>
      <x:c r="AO123" s="21" t="n">
        <x:v>1</x:v>
      </x:c>
      <x:c r="AP123" s="21" t="n">
        <x:v>0.97</x:v>
      </x:c>
      <x:c r="AQ123" s="21" t="n">
        <x:v>1.07</x:v>
      </x:c>
      <x:c r="AR123" s="21" t="n">
        <x:v>1</x:v>
      </x:c>
      <x:c r="AS123" s="21" t="n">
        <x:v>1</x:v>
      </x:c>
      <x:c r="AT123" s="21" t="n">
        <x:v>1</x:v>
      </x:c>
      <x:c r="AU123" s="21" t="n">
        <x:v>0</x:v>
      </x:c>
      <x:c r="AV123" s="22" t="n">
        <x:f>IF(C123="QB",N123*0.04+O123*4-P123*2+R123*0.1+S123*6,IF(OR(C123="RB",C123="WR",C123="TE"),U123*0.1+V123*6+R123*0.1+S123*6+X123*0.5+Y123*0.1+Z123*6,IF(C123="K",AC123*3+AD123*4+AE123*5+AF123,IF(C123="DST",AG123+AH123*2+AI123*6+AL123,0))))</x:f>
        <x:v>2.0675141700404858</x:v>
      </x:c>
      <x:c r="AW123" s="22" t="n">
        <x:f>(AV123+AU123)*G123</x:f>
        <x:v>2.0675141700404858</x:v>
      </x:c>
      <x:c r="AX123" s="22" t="n">
        <x:f>MAX(0,AW123*IF(C123="QB",0.68,IF(C123="RB",0.58,IF(C123="WR",0.52,IF(C123="TE",0.50,IF(C123="K",0.55,0.40))))))</x:f>
        <x:v>1.1991582186234817</x:v>
      </x:c>
      <x:c r="AY123" s="22" t="n">
        <x:f>AW123*IF(C123="QB",1.32,IF(C123="RB",1.45,IF(C123="WR",1.55,IF(C123="TE",1.60,IF(C123="K",1.45,1.65)))))</x:f>
        <x:v>2.9978955465587043</x:v>
      </x:c>
      <x:c r="AZ123" s="12" t="str">
        <x:v>High</x:v>
      </x:c>
      <x:c r="BA123" s="12" t="n">
        <x:v>9</x:v>
      </x:c>
      <x:c r="BB123" s="12" t="n">
        <x:f>COUNTIFS($C$2:$C$344,C123,$AW$2:$AW$344,"&gt;"&amp;AW123,$G$2:$G$344,"&gt;0")+COUNTIFS($C$2:C123,C123,$AW$2:AW123,AW123,$G$2:G123,"&gt;0")</x:f>
        <x:v>83</x:v>
      </x:c>
      <x:c r="BC123" s="12" t="n">
        <x:v>83</x:v>
      </x:c>
      <x:c r="BD123" s="12" t="str">
        <x:f>IF(BB123&lt;BC123,"↑",IF(BB123&gt;BC123,"↓","→"))</x:f>
        <x:v>→</x:v>
      </x:c>
      <x:c r="BE123" s="23" t="str">
        <x:v>Fantasy Football Brief ROS baseline; official NFL schedule</x:v>
      </x:c>
      <x:c r="BF123" s="23" t="str">
        <x:v>Current role and availability baseline; all adjustment factors shown numerically</x:v>
      </x:c>
      <x:c r="BG123" s="23" t="str">
        <x:v>Material injury, depth-chart, or role change</x:v>
      </x:c>
      <x:c r="BH123" s="24" t="str">
        <x:v>2026-09-23 10:35 CT</x:v>
      </x:c>
    </x:row>
    <x:row r="124">
      <x:c r="A124" s="12" t="str">
        <x:v>Adam Randall</x:v>
      </x:c>
      <x:c r="B124" s="12" t="str">
        <x:v>BAL</x:v>
      </x:c>
      <x:c r="C124" s="12" t="str">
        <x:v>RB</x:v>
      </x:c>
      <x:c r="D124" s="12" t="str">
        <x:v>DAL</x:v>
      </x:c>
      <x:c r="E124" s="12" t="str">
        <x:v>Away</x:v>
      </x:c>
      <x:c r="F124" s="12" t="str">
        <x:v>2026-09-27</x:v>
      </x:c>
      <x:c r="G124" s="19" t="n">
        <x:v>0</x:v>
      </x:c>
      <x:c r="H124" s="20" t="str">
        <x:v>IR</x:v>
      </x:c>
      <x:c r="I124" s="20" t="n">
        <x:v>26.4</x:v>
      </x:c>
      <x:c r="J124" s="20" t="str">
        <x:v>Opportunities</x:v>
      </x:c>
      <x:c r="K124" s="20" t="n">
        <x:v>3.473684210526316</x:v>
      </x:c>
      <x:c r="L124" s="21" t="n">
        <x:v>0</x:v>
      </x:c>
      <x:c r="M124" s="21" t="n">
        <x:v>0</x:v>
      </x:c>
      <x:c r="N124" s="21" t="n">
        <x:v>0</x:v>
      </x:c>
      <x:c r="O124" s="21" t="n">
        <x:v>0</x:v>
      </x:c>
      <x:c r="P124" s="21" t="n">
        <x:v>0</x:v>
      </x:c>
      <x:c r="Q124" s="21" t="n">
        <x:v>0</x:v>
      </x:c>
      <x:c r="R124" s="21" t="n">
        <x:v>0</x:v>
      </x:c>
      <x:c r="S124" s="21" t="n">
        <x:v>0</x:v>
      </x:c>
      <x:c r="T124" s="21" t="n">
        <x:v>2.736842105263158</x:v>
      </x:c>
      <x:c r="U124" s="21" t="n">
        <x:v>13.206905263157896</x:v>
      </x:c>
      <x:c r="V124" s="21" t="n">
        <x:v>0.09108210526315792</x:v>
      </x:c>
      <x:c r="W124" s="21" t="n">
        <x:v>0.736842105263158</x:v>
      </x:c>
      <x:c r="X124" s="21" t="n">
        <x:v>0.568421052631579</x:v>
      </x:c>
      <x:c r="Y124" s="21" t="n">
        <x:v>5.009515789473685</x:v>
      </x:c>
      <x:c r="Z124" s="21" t="n">
        <x:v>0.02277052631578948</x:v>
      </x:c>
      <x:c r="AA124" s="21" t="n">
        <x:v>0</x:v>
      </x:c>
      <x:c r="AB124" s="21" t="n">
        <x:v>0</x:v>
      </x:c>
      <x:c r="AC124" s="21" t="n">
        <x:v>0</x:v>
      </x:c>
      <x:c r="AD124" s="21" t="n">
        <x:v>0</x:v>
      </x:c>
      <x:c r="AE124" s="21" t="n">
        <x:v>0</x:v>
      </x:c>
      <x:c r="AF124" s="21" t="n">
        <x:v>0</x:v>
      </x:c>
      <x:c r="AG124" s="21" t="n">
        <x:v>0</x:v>
      </x:c>
      <x:c r="AH124" s="21" t="n">
        <x:v>0</x:v>
      </x:c>
      <x:c r="AI124" s="21" t="n">
        <x:v>0</x:v>
      </x:c>
      <x:c r="AJ124" s="21" t="n">
        <x:v>0</x:v>
      </x:c>
      <x:c r="AK124" s="21" t="n">
        <x:v>0</x:v>
      </x:c>
      <x:c r="AL124" s="21" t="n">
        <x:v>0</x:v>
      </x:c>
      <x:c r="AM124" s="21" t="n">
        <x:v>0.7333333333333333</x:v>
      </x:c>
      <x:c r="AN124" s="21" t="n">
        <x:v>1</x:v>
      </x:c>
      <x:c r="AO124" s="21" t="n">
        <x:v>1</x:v>
      </x:c>
      <x:c r="AP124" s="21" t="n">
        <x:v>1.04</x:v>
      </x:c>
      <x:c r="AQ124" s="21" t="n">
        <x:v>1.04</x:v>
      </x:c>
      <x:c r="AR124" s="21" t="n">
        <x:v>1</x:v>
      </x:c>
      <x:c r="AS124" s="21" t="n">
        <x:v>1</x:v>
      </x:c>
      <x:c r="AT124" s="21" t="n">
        <x:v>1</x:v>
      </x:c>
      <x:c r="AU124" s="21" t="n">
        <x:v>0</x:v>
      </x:c>
      <x:c r="AV124" s="22" t="n">
        <x:f>IF(C124="QB",N124*0.04+O124*4-P124*2+R124*0.1+S124*6,IF(OR(C124="RB",C124="WR",C124="TE"),U124*0.1+V124*6+R124*0.1+S124*6+X124*0.5+Y124*0.1+Z124*6,IF(C124="K",AC124*3+AD124*4+AE124*5+AF124,IF(C124="DST",AG124+AH124*2+AI124*6+AL124,0))))</x:f>
        <x:v>2.7889684210526324</x:v>
      </x:c>
      <x:c r="AW124" s="22" t="n">
        <x:f>(AV124+AU124)*G124</x:f>
        <x:v>0</x:v>
      </x:c>
      <x:c r="AX124" s="22" t="n">
        <x:f>MAX(0,AW124*IF(C124="QB",0.68,IF(C124="RB",0.58,IF(C124="WR",0.52,IF(C124="TE",0.50,IF(C124="K",0.55,0.40))))))</x:f>
        <x:v>0</x:v>
      </x:c>
      <x:c r="AY124" s="22" t="n">
        <x:f>AW124*IF(C124="QB",1.32,IF(C124="RB",1.45,IF(C124="WR",1.55,IF(C124="TE",1.60,IF(C124="K",1.45,1.65)))))</x:f>
        <x:v>0</x:v>
      </x:c>
      <x:c r="AZ124" s="12" t="str">
        <x:v>High</x:v>
      </x:c>
      <x:c r="BA124" s="12" t="n">
        <x:v>9</x:v>
      </x:c>
      <x:c r="BB124" s="12"/>
      <x:c r="BC124" s="12" t="str">
        <x:v>NR</x:v>
      </x:c>
      <x:c r="BD124" s="12" t="str">
        <x:v>New</x:v>
      </x:c>
      <x:c r="BE124" s="23" t="str">
        <x:v>https://www.baltimorebeatdown.com/baltimore-ravens-injuries/84838/zay-flowers-devontez-walker-pop-up-on-ravens-1st-2026-injury-report</x:v>
      </x:c>
      <x:c r="BF124" s="23" t="str">
        <x:v>Baltimore placed Randall on injured reserve; he is unavailable for Week 3. Conditional inputs remain visible for audit; expected Week 3 points are zero.</x:v>
      </x:c>
      <x:c r="BG124" s="23" t="str">
        <x:v>Official activation or new-team transaction</x:v>
      </x:c>
      <x:c r="BH124" s="24" t="str">
        <x:v>2026-09-24 1:18 PM CT</x:v>
      </x:c>
    </x:row>
    <x:row r="125">
      <x:c r="A125" s="12" t="str">
        <x:v>Audric Estime</x:v>
      </x:c>
      <x:c r="B125" s="12" t="str">
        <x:v>NO</x:v>
      </x:c>
      <x:c r="C125" s="12" t="str">
        <x:v>RB</x:v>
      </x:c>
      <x:c r="D125" s="12" t="str">
        <x:v>LV</x:v>
      </x:c>
      <x:c r="E125" s="12" t="str">
        <x:v>Home</x:v>
      </x:c>
      <x:c r="F125" s="12" t="str">
        <x:v>2026-09-27</x:v>
      </x:c>
      <x:c r="G125" s="19" t="n">
        <x:v>1</x:v>
      </x:c>
      <x:c r="H125" s="20" t="str">
        <x:v>ACTIVE</x:v>
      </x:c>
      <x:c r="I125" s="20" t="n">
        <x:v>36</x:v>
      </x:c>
      <x:c r="J125" s="20" t="str">
        <x:v>Opportunities</x:v>
      </x:c>
      <x:c r="K125" s="20" t="n">
        <x:v>2.672064777327935</x:v>
      </x:c>
      <x:c r="L125" s="21" t="n">
        <x:v>0</x:v>
      </x:c>
      <x:c r="M125" s="21" t="n">
        <x:v>0</x:v>
      </x:c>
      <x:c r="N125" s="21" t="n">
        <x:v>0</x:v>
      </x:c>
      <x:c r="O125" s="21" t="n">
        <x:v>0</x:v>
      </x:c>
      <x:c r="P125" s="21" t="n">
        <x:v>0</x:v>
      </x:c>
      <x:c r="Q125" s="21" t="n">
        <x:v>0</x:v>
      </x:c>
      <x:c r="R125" s="21" t="n">
        <x:v>0</x:v>
      </x:c>
      <x:c r="S125" s="21" t="n">
        <x:v>0</x:v>
      </x:c>
      <x:c r="T125" s="21" t="n">
        <x:v>2.1052631578947367</x:v>
      </x:c>
      <x:c r="U125" s="21" t="n">
        <x:v>9.298785425101215</x:v>
      </x:c>
      <x:c r="V125" s="21" t="n">
        <x:v>0.06412955465587045</x:v>
      </x:c>
      <x:c r="W125" s="21" t="n">
        <x:v>0.5668016194331984</x:v>
      </x:c>
      <x:c r="X125" s="21" t="n">
        <x:v>0.43724696356275305</x:v>
      </x:c>
      <x:c r="Y125" s="21" t="n">
        <x:v>3.527125506072874</x:v>
      </x:c>
      <x:c r="Z125" s="21" t="n">
        <x:v>0.01603238866396761</x:v>
      </x:c>
      <x:c r="AA125" s="21" t="n">
        <x:v>0</x:v>
      </x:c>
      <x:c r="AB125" s="21" t="n">
        <x:v>0</x:v>
      </x:c>
      <x:c r="AC125" s="21" t="n">
        <x:v>0</x:v>
      </x:c>
      <x:c r="AD125" s="21" t="n">
        <x:v>0</x:v>
      </x:c>
      <x:c r="AE125" s="21" t="n">
        <x:v>0</x:v>
      </x:c>
      <x:c r="AF125" s="21" t="n">
        <x:v>0</x:v>
      </x:c>
      <x:c r="AG125" s="21" t="n">
        <x:v>0</x:v>
      </x:c>
      <x:c r="AH125" s="21" t="n">
        <x:v>0</x:v>
      </x:c>
      <x:c r="AI125" s="21" t="n">
        <x:v>0</x:v>
      </x:c>
      <x:c r="AJ125" s="21" t="n">
        <x:v>0</x:v>
      </x:c>
      <x:c r="AK125" s="21" t="n">
        <x:v>0</x:v>
      </x:c>
      <x:c r="AL125" s="21" t="n">
        <x:v>0</x:v>
      </x:c>
      <x:c r="AM125" s="21" t="n">
        <x:v>1</x:v>
      </x:c>
      <x:c r="AN125" s="21" t="n">
        <x:v>1</x:v>
      </x:c>
      <x:c r="AO125" s="21" t="n">
        <x:v>1</x:v>
      </x:c>
      <x:c r="AP125" s="21" t="n">
        <x:v>0.99</x:v>
      </x:c>
      <x:c r="AQ125" s="21" t="n">
        <x:v>1</x:v>
      </x:c>
      <x:c r="AR125" s="21" t="n">
        <x:v>1</x:v>
      </x:c>
      <x:c r="AS125" s="21" t="n">
        <x:v>1</x:v>
      </x:c>
      <x:c r="AT125" s="21" t="n">
        <x:v>1</x:v>
      </x:c>
      <x:c r="AU125" s="21" t="n">
        <x:v>0</x:v>
      </x:c>
      <x:c r="AV125" s="22" t="n">
        <x:f>IF(C125="QB",N125*0.04+O125*4-P125*2+R125*0.1+S125*6,IF(OR(C125="RB",C125="WR",C125="TE"),U125*0.1+V125*6+R125*0.1+S125*6+X125*0.5+Y125*0.1+Z125*6,IF(C125="K",AC125*3+AD125*4+AE125*5+AF125,IF(C125="DST",AG125+AH125*2+AI125*6+AL125,0))))</x:f>
        <x:v>1.982186234817814</x:v>
      </x:c>
      <x:c r="AW125" s="22" t="n">
        <x:f>(AV125+AU125)*G125</x:f>
        <x:v>1.982186234817814</x:v>
      </x:c>
      <x:c r="AX125" s="22" t="n">
        <x:f>MAX(0,AW125*IF(C125="QB",0.68,IF(C125="RB",0.58,IF(C125="WR",0.52,IF(C125="TE",0.50,IF(C125="K",0.55,0.40))))))</x:f>
        <x:v>1.149668016194332</x:v>
      </x:c>
      <x:c r="AY125" s="22" t="n">
        <x:f>AW125*IF(C125="QB",1.32,IF(C125="RB",1.45,IF(C125="WR",1.55,IF(C125="TE",1.60,IF(C125="K",1.45,1.65)))))</x:f>
        <x:v>2.87417004048583</x:v>
      </x:c>
      <x:c r="AZ125" s="12" t="str">
        <x:v>High</x:v>
      </x:c>
      <x:c r="BA125" s="12" t="n">
        <x:v>9</x:v>
      </x:c>
      <x:c r="BB125" s="12" t="n">
        <x:f>COUNTIFS($C$2:$C$344,C125,$AW$2:$AW$344,"&gt;"&amp;AW125,$G$2:$G$344,"&gt;0")+COUNTIFS($C$2:C125,C125,$AW$2:AW125,AW125,$G$2:G125,"&gt;0")</x:f>
        <x:v>84</x:v>
      </x:c>
      <x:c r="BC125" s="12" t="n">
        <x:v>84</x:v>
      </x:c>
      <x:c r="BD125" s="12" t="str">
        <x:f>IF(BB125&lt;BC125,"↑",IF(BB125&gt;BC125,"↓","→"))</x:f>
        <x:v>→</x:v>
      </x:c>
      <x:c r="BE125" s="23" t="str">
        <x:v>Fantasy Football Brief ROS baseline; official NFL schedule</x:v>
      </x:c>
      <x:c r="BF125" s="23" t="str">
        <x:v>Current role and availability baseline; all adjustment factors shown numerically</x:v>
      </x:c>
      <x:c r="BG125" s="23" t="str">
        <x:v>Material injury, depth-chart, or role change</x:v>
      </x:c>
      <x:c r="BH125" s="24" t="str">
        <x:v>2026-09-23 10:35 CT</x:v>
      </x:c>
    </x:row>
    <x:row r="126">
      <x:c r="A126" s="12" t="str">
        <x:v>Jawhar Jordan</x:v>
      </x:c>
      <x:c r="B126" s="12" t="str">
        <x:v>HOU</x:v>
      </x:c>
      <x:c r="C126" s="12" t="str">
        <x:v>RB</x:v>
      </x:c>
      <x:c r="D126" s="12" t="str">
        <x:v>IND</x:v>
      </x:c>
      <x:c r="E126" s="12" t="str">
        <x:v>Away</x:v>
      </x:c>
      <x:c r="F126" s="12" t="str">
        <x:v>2026-09-27</x:v>
      </x:c>
      <x:c r="G126" s="19" t="n">
        <x:v>1</x:v>
      </x:c>
      <x:c r="H126" s="20" t="str">
        <x:v>ACTIVE</x:v>
      </x:c>
      <x:c r="I126" s="20" t="n">
        <x:v>36</x:v>
      </x:c>
      <x:c r="J126" s="20" t="str">
        <x:v>Opportunities</x:v>
      </x:c>
      <x:c r="K126" s="20" t="n">
        <x:v>2.672064777327935</x:v>
      </x:c>
      <x:c r="L126" s="21" t="n">
        <x:v>0</x:v>
      </x:c>
      <x:c r="M126" s="21" t="n">
        <x:v>0</x:v>
      </x:c>
      <x:c r="N126" s="21" t="n">
        <x:v>0</x:v>
      </x:c>
      <x:c r="O126" s="21" t="n">
        <x:v>0</x:v>
      </x:c>
      <x:c r="P126" s="21" t="n">
        <x:v>0</x:v>
      </x:c>
      <x:c r="Q126" s="21" t="n">
        <x:v>0</x:v>
      </x:c>
      <x:c r="R126" s="21" t="n">
        <x:v>0</x:v>
      </x:c>
      <x:c r="S126" s="21" t="n">
        <x:v>0</x:v>
      </x:c>
      <x:c r="T126" s="21" t="n">
        <x:v>2.1052631578947367</x:v>
      </x:c>
      <x:c r="U126" s="21" t="n">
        <x:v>9.298785425101215</x:v>
      </x:c>
      <x:c r="V126" s="21" t="n">
        <x:v>0.06412955465587045</x:v>
      </x:c>
      <x:c r="W126" s="21" t="n">
        <x:v>0.5668016194331984</x:v>
      </x:c>
      <x:c r="X126" s="21" t="n">
        <x:v>0.43724696356275305</x:v>
      </x:c>
      <x:c r="Y126" s="21" t="n">
        <x:v>3.527125506072874</x:v>
      </x:c>
      <x:c r="Z126" s="21" t="n">
        <x:v>0.01603238866396761</x:v>
      </x:c>
      <x:c r="AA126" s="21" t="n">
        <x:v>0</x:v>
      </x:c>
      <x:c r="AB126" s="21" t="n">
        <x:v>0</x:v>
      </x:c>
      <x:c r="AC126" s="21" t="n">
        <x:v>0</x:v>
      </x:c>
      <x:c r="AD126" s="21" t="n">
        <x:v>0</x:v>
      </x:c>
      <x:c r="AE126" s="21" t="n">
        <x:v>0</x:v>
      </x:c>
      <x:c r="AF126" s="21" t="n">
        <x:v>0</x:v>
      </x:c>
      <x:c r="AG126" s="21" t="n">
        <x:v>0</x:v>
      </x:c>
      <x:c r="AH126" s="21" t="n">
        <x:v>0</x:v>
      </x:c>
      <x:c r="AI126" s="21" t="n">
        <x:v>0</x:v>
      </x:c>
      <x:c r="AJ126" s="21" t="n">
        <x:v>0</x:v>
      </x:c>
      <x:c r="AK126" s="21" t="n">
        <x:v>0</x:v>
      </x:c>
      <x:c r="AL126" s="21" t="n">
        <x:v>0</x:v>
      </x:c>
      <x:c r="AM126" s="21" t="n">
        <x:v>1</x:v>
      </x:c>
      <x:c r="AN126" s="21" t="n">
        <x:v>1</x:v>
      </x:c>
      <x:c r="AO126" s="21" t="n">
        <x:v>1</x:v>
      </x:c>
      <x:c r="AP126" s="21" t="n">
        <x:v>0.99</x:v>
      </x:c>
      <x:c r="AQ126" s="21" t="n">
        <x:v>1</x:v>
      </x:c>
      <x:c r="AR126" s="21" t="n">
        <x:v>1</x:v>
      </x:c>
      <x:c r="AS126" s="21" t="n">
        <x:v>1</x:v>
      </x:c>
      <x:c r="AT126" s="21" t="n">
        <x:v>1</x:v>
      </x:c>
      <x:c r="AU126" s="21" t="n">
        <x:v>0</x:v>
      </x:c>
      <x:c r="AV126" s="22" t="n">
        <x:f>IF(C126="QB",N126*0.04+O126*4-P126*2+R126*0.1+S126*6,IF(OR(C126="RB",C126="WR",C126="TE"),U126*0.1+V126*6+R126*0.1+S126*6+X126*0.5+Y126*0.1+Z126*6,IF(C126="K",AC126*3+AD126*4+AE126*5+AF126,IF(C126="DST",AG126+AH126*2+AI126*6+AL126,0))))</x:f>
        <x:v>1.982186234817814</x:v>
      </x:c>
      <x:c r="AW126" s="22" t="n">
        <x:f>(AV126+AU126)*G126</x:f>
        <x:v>1.982186234817814</x:v>
      </x:c>
      <x:c r="AX126" s="22" t="n">
        <x:f>MAX(0,AW126*IF(C126="QB",0.68,IF(C126="RB",0.58,IF(C126="WR",0.52,IF(C126="TE",0.50,IF(C126="K",0.55,0.40))))))</x:f>
        <x:v>1.149668016194332</x:v>
      </x:c>
      <x:c r="AY126" s="22" t="n">
        <x:f>AW126*IF(C126="QB",1.32,IF(C126="RB",1.45,IF(C126="WR",1.55,IF(C126="TE",1.60,IF(C126="K",1.45,1.65)))))</x:f>
        <x:v>2.87417004048583</x:v>
      </x:c>
      <x:c r="AZ126" s="12" t="str">
        <x:v>High</x:v>
      </x:c>
      <x:c r="BA126" s="12" t="n">
        <x:v>9</x:v>
      </x:c>
      <x:c r="BB126" s="12" t="n">
        <x:f>COUNTIFS($C$2:$C$344,C126,$AW$2:$AW$344,"&gt;"&amp;AW126,$G$2:$G$344,"&gt;0")+COUNTIFS($C$2:C126,C126,$AW$2:AW126,AW126,$G$2:G126,"&gt;0")</x:f>
        <x:v>85</x:v>
      </x:c>
      <x:c r="BC126" s="12" t="n">
        <x:v>85</x:v>
      </x:c>
      <x:c r="BD126" s="12" t="str">
        <x:f>IF(BB126&lt;BC126,"↑",IF(BB126&gt;BC126,"↓","→"))</x:f>
        <x:v>→</x:v>
      </x:c>
      <x:c r="BE126" s="23" t="str">
        <x:v>Fantasy Football Brief ROS baseline; official NFL schedule</x:v>
      </x:c>
      <x:c r="BF126" s="23" t="str">
        <x:v>Current role and availability baseline; all adjustment factors shown numerically</x:v>
      </x:c>
      <x:c r="BG126" s="23" t="str">
        <x:v>Material injury, depth-chart, or role change</x:v>
      </x:c>
      <x:c r="BH126" s="24" t="str">
        <x:v>2026-09-23 10:35 CT</x:v>
      </x:c>
    </x:row>
    <x:row r="127">
      <x:c r="A127" s="12" t="str">
        <x:v>Tahj Brooks</x:v>
      </x:c>
      <x:c r="B127" s="12" t="str">
        <x:v>CIN</x:v>
      </x:c>
      <x:c r="C127" s="12" t="str">
        <x:v>RB</x:v>
      </x:c>
      <x:c r="D127" s="12" t="str">
        <x:v>PIT</x:v>
      </x:c>
      <x:c r="E127" s="12" t="str">
        <x:v>Away</x:v>
      </x:c>
      <x:c r="F127" s="12" t="str">
        <x:v>2026-09-27</x:v>
      </x:c>
      <x:c r="G127" s="19" t="n">
        <x:v>1</x:v>
      </x:c>
      <x:c r="H127" s="20" t="str">
        <x:v>ACTIVE</x:v>
      </x:c>
      <x:c r="I127" s="20" t="n">
        <x:v>36</x:v>
      </x:c>
      <x:c r="J127" s="20" t="str">
        <x:v>Opportunities</x:v>
      </x:c>
      <x:c r="K127" s="20" t="n">
        <x:v>2.672064777327935</x:v>
      </x:c>
      <x:c r="L127" s="21" t="n">
        <x:v>0</x:v>
      </x:c>
      <x:c r="M127" s="21" t="n">
        <x:v>0</x:v>
      </x:c>
      <x:c r="N127" s="21" t="n">
        <x:v>0</x:v>
      </x:c>
      <x:c r="O127" s="21" t="n">
        <x:v>0</x:v>
      </x:c>
      <x:c r="P127" s="21" t="n">
        <x:v>0</x:v>
      </x:c>
      <x:c r="Q127" s="21" t="n">
        <x:v>0</x:v>
      </x:c>
      <x:c r="R127" s="21" t="n">
        <x:v>0</x:v>
      </x:c>
      <x:c r="S127" s="21" t="n">
        <x:v>0</x:v>
      </x:c>
      <x:c r="T127" s="21" t="n">
        <x:v>2.1052631578947367</x:v>
      </x:c>
      <x:c r="U127" s="21" t="n">
        <x:v>9.296906882591093</x:v>
      </x:c>
      <x:c r="V127" s="21" t="n">
        <x:v>0.0641165991902834</x:v>
      </x:c>
      <x:c r="W127" s="21" t="n">
        <x:v>0.5668016194331984</x:v>
      </x:c>
      <x:c r="X127" s="21" t="n">
        <x:v>0.43724696356275305</x:v>
      </x:c>
      <x:c r="Y127" s="21" t="n">
        <x:v>3.5264129554655868</x:v>
      </x:c>
      <x:c r="Z127" s="21" t="n">
        <x:v>0.01602914979757085</x:v>
      </x:c>
      <x:c r="AA127" s="21" t="n">
        <x:v>0</x:v>
      </x:c>
      <x:c r="AB127" s="21" t="n">
        <x:v>0</x:v>
      </x:c>
      <x:c r="AC127" s="21" t="n">
        <x:v>0</x:v>
      </x:c>
      <x:c r="AD127" s="21" t="n">
        <x:v>0</x:v>
      </x:c>
      <x:c r="AE127" s="21" t="n">
        <x:v>0</x:v>
      </x:c>
      <x:c r="AF127" s="21" t="n">
        <x:v>0</x:v>
      </x:c>
      <x:c r="AG127" s="21" t="n">
        <x:v>0</x:v>
      </x:c>
      <x:c r="AH127" s="21" t="n">
        <x:v>0</x:v>
      </x:c>
      <x:c r="AI127" s="21" t="n">
        <x:v>0</x:v>
      </x:c>
      <x:c r="AJ127" s="21" t="n">
        <x:v>0</x:v>
      </x:c>
      <x:c r="AK127" s="21" t="n">
        <x:v>0</x:v>
      </x:c>
      <x:c r="AL127" s="21" t="n">
        <x:v>0</x:v>
      </x:c>
      <x:c r="AM127" s="21" t="n">
        <x:v>1</x:v>
      </x:c>
      <x:c r="AN127" s="21" t="n">
        <x:v>1</x:v>
      </x:c>
      <x:c r="AO127" s="21" t="n">
        <x:v>1</x:v>
      </x:c>
      <x:c r="AP127" s="21" t="n">
        <x:v>1.01</x:v>
      </x:c>
      <x:c r="AQ127" s="21" t="n">
        <x:v>0.98</x:v>
      </x:c>
      <x:c r="AR127" s="21" t="n">
        <x:v>1</x:v>
      </x:c>
      <x:c r="AS127" s="21" t="n">
        <x:v>1</x:v>
      </x:c>
      <x:c r="AT127" s="21" t="n">
        <x:v>1</x:v>
      </x:c>
      <x:c r="AU127" s="21" t="n">
        <x:v>0</x:v>
      </x:c>
      <x:c r="AV127" s="22" t="n">
        <x:f>IF(C127="QB",N127*0.04+O127*4-P127*2+R127*0.1+S127*6,IF(OR(C127="RB",C127="WR",C127="TE"),U127*0.1+V127*6+R127*0.1+S127*6+X127*0.5+Y127*0.1+Z127*6,IF(C127="K",AC127*3+AD127*4+AE127*5+AF127,IF(C127="DST",AG127+AH127*2+AI127*6+AL127,0))))</x:f>
        <x:v>1.9818299595141704</x:v>
      </x:c>
      <x:c r="AW127" s="22" t="n">
        <x:f>(AV127+AU127)*G127</x:f>
        <x:v>1.9818299595141704</x:v>
      </x:c>
      <x:c r="AX127" s="22" t="n">
        <x:f>MAX(0,AW127*IF(C127="QB",0.68,IF(C127="RB",0.58,IF(C127="WR",0.52,IF(C127="TE",0.50,IF(C127="K",0.55,0.40))))))</x:f>
        <x:v>1.1494613765182187</x:v>
      </x:c>
      <x:c r="AY127" s="22" t="n">
        <x:f>AW127*IF(C127="QB",1.32,IF(C127="RB",1.45,IF(C127="WR",1.55,IF(C127="TE",1.60,IF(C127="K",1.45,1.65)))))</x:f>
        <x:v>2.873653441295547</x:v>
      </x:c>
      <x:c r="AZ127" s="12" t="str">
        <x:v>High</x:v>
      </x:c>
      <x:c r="BA127" s="12" t="n">
        <x:v>10</x:v>
      </x:c>
      <x:c r="BB127" s="12" t="n">
        <x:f>COUNTIFS($C$2:$C$344,C127,$AW$2:$AW$344,"&gt;"&amp;AW127,$G$2:$G$344,"&gt;0")+COUNTIFS($C$2:C127,C127,$AW$2:AW127,AW127,$G$2:G127,"&gt;0")</x:f>
        <x:v>86</x:v>
      </x:c>
      <x:c r="BC127" s="12" t="n">
        <x:v>86</x:v>
      </x:c>
      <x:c r="BD127" s="12" t="str">
        <x:f>IF(BB127&lt;BC127,"↑",IF(BB127&gt;BC127,"↓","→"))</x:f>
        <x:v>→</x:v>
      </x:c>
      <x:c r="BE127" s="23" t="str">
        <x:v>Fantasy Football Brief ROS baseline; official NFL schedule</x:v>
      </x:c>
      <x:c r="BF127" s="23" t="str">
        <x:v>Current role and availability baseline; all adjustment factors shown numerically</x:v>
      </x:c>
      <x:c r="BG127" s="23" t="str">
        <x:v>Material injury, depth-chart, or role change</x:v>
      </x:c>
      <x:c r="BH127" s="24" t="str">
        <x:v>2026-09-23 10:35 CT</x:v>
      </x:c>
    </x:row>
    <x:row r="128">
      <x:c r="A128" s="12" t="str">
        <x:v>Trevor Etienne</x:v>
      </x:c>
      <x:c r="B128" s="12" t="str">
        <x:v>CAR</x:v>
      </x:c>
      <x:c r="C128" s="12" t="str">
        <x:v>RB</x:v>
      </x:c>
      <x:c r="D128" s="12" t="str">
        <x:v>CLE</x:v>
      </x:c>
      <x:c r="E128" s="12" t="str">
        <x:v>Away</x:v>
      </x:c>
      <x:c r="F128" s="12" t="str">
        <x:v>2026-09-27</x:v>
      </x:c>
      <x:c r="G128" s="19" t="n">
        <x:v>1</x:v>
      </x:c>
      <x:c r="H128" s="20" t="str">
        <x:v>ACTIVE</x:v>
      </x:c>
      <x:c r="I128" s="20" t="n">
        <x:v>36</x:v>
      </x:c>
      <x:c r="J128" s="20" t="str">
        <x:v>Opportunities</x:v>
      </x:c>
      <x:c r="K128" s="20" t="n">
        <x:v>2.672064777327935</x:v>
      </x:c>
      <x:c r="L128" s="21" t="n">
        <x:v>0</x:v>
      </x:c>
      <x:c r="M128" s="21" t="n">
        <x:v>0</x:v>
      </x:c>
      <x:c r="N128" s="21" t="n">
        <x:v>0</x:v>
      </x:c>
      <x:c r="O128" s="21" t="n">
        <x:v>0</x:v>
      </x:c>
      <x:c r="P128" s="21" t="n">
        <x:v>0</x:v>
      </x:c>
      <x:c r="Q128" s="21" t="n">
        <x:v>0</x:v>
      </x:c>
      <x:c r="R128" s="21" t="n">
        <x:v>0</x:v>
      </x:c>
      <x:c r="S128" s="21" t="n">
        <x:v>0</x:v>
      </x:c>
      <x:c r="T128" s="21" t="n">
        <x:v>2.1052631578947367</x:v>
      </x:c>
      <x:c r="U128" s="21" t="n">
        <x:v>9.020761133603237</x:v>
      </x:c>
      <x:c r="V128" s="21" t="n">
        <x:v>0.06221214574898785</x:v>
      </x:c>
      <x:c r="W128" s="21" t="n">
        <x:v>0.5668016194331984</x:v>
      </x:c>
      <x:c r="X128" s="21" t="n">
        <x:v>0.43724696356275305</x:v>
      </x:c>
      <x:c r="Y128" s="21" t="n">
        <x:v>3.4216680161943316</x:v>
      </x:c>
      <x:c r="Z128" s="21" t="n">
        <x:v>0.015553036437246962</x:v>
      </x:c>
      <x:c r="AA128" s="21" t="n">
        <x:v>0</x:v>
      </x:c>
      <x:c r="AB128" s="21" t="n">
        <x:v>0</x:v>
      </x:c>
      <x:c r="AC128" s="21" t="n">
        <x:v>0</x:v>
      </x:c>
      <x:c r="AD128" s="21" t="n">
        <x:v>0</x:v>
      </x:c>
      <x:c r="AE128" s="21" t="n">
        <x:v>0</x:v>
      </x:c>
      <x:c r="AF128" s="21" t="n">
        <x:v>0</x:v>
      </x:c>
      <x:c r="AG128" s="21" t="n">
        <x:v>0</x:v>
      </x:c>
      <x:c r="AH128" s="21" t="n">
        <x:v>0</x:v>
      </x:c>
      <x:c r="AI128" s="21" t="n">
        <x:v>0</x:v>
      </x:c>
      <x:c r="AJ128" s="21" t="n">
        <x:v>0</x:v>
      </x:c>
      <x:c r="AK128" s="21" t="n">
        <x:v>0</x:v>
      </x:c>
      <x:c r="AL128" s="21" t="n">
        <x:v>0</x:v>
      </x:c>
      <x:c r="AM128" s="21" t="n">
        <x:v>1</x:v>
      </x:c>
      <x:c r="AN128" s="21" t="n">
        <x:v>1</x:v>
      </x:c>
      <x:c r="AO128" s="21" t="n">
        <x:v>1</x:v>
      </x:c>
      <x:c r="AP128" s="21" t="n">
        <x:v>0.98</x:v>
      </x:c>
      <x:c r="AQ128" s="21" t="n">
        <x:v>0.98</x:v>
      </x:c>
      <x:c r="AR128" s="21" t="n">
        <x:v>1</x:v>
      </x:c>
      <x:c r="AS128" s="21" t="n">
        <x:v>1</x:v>
      </x:c>
      <x:c r="AT128" s="21" t="n">
        <x:v>1</x:v>
      </x:c>
      <x:c r="AU128" s="21" t="n">
        <x:v>0</x:v>
      </x:c>
      <x:c r="AV128" s="22" t="n">
        <x:f>IF(C128="QB",N128*0.04+O128*4-P128*2+R128*0.1+S128*6,IF(OR(C128="RB",C128="WR",C128="TE"),U128*0.1+V128*6+R128*0.1+S128*6+X128*0.5+Y128*0.1+Z128*6,IF(C128="K",AC128*3+AD128*4+AE128*5+AF128,IF(C128="DST",AG128+AH128*2+AI128*6+AL128,0))))</x:f>
        <x:v>1.9294574898785426</x:v>
      </x:c>
      <x:c r="AW128" s="22" t="n">
        <x:f>(AV128+AU128)*G128</x:f>
        <x:v>1.9294574898785426</x:v>
      </x:c>
      <x:c r="AX128" s="22" t="n">
        <x:f>MAX(0,AW128*IF(C128="QB",0.68,IF(C128="RB",0.58,IF(C128="WR",0.52,IF(C128="TE",0.50,IF(C128="K",0.55,0.40))))))</x:f>
        <x:v>1.1190853441295547</x:v>
      </x:c>
      <x:c r="AY128" s="22" t="n">
        <x:f>AW128*IF(C128="QB",1.32,IF(C128="RB",1.45,IF(C128="WR",1.55,IF(C128="TE",1.60,IF(C128="K",1.45,1.65)))))</x:f>
        <x:v>2.7977133603238866</x:v>
      </x:c>
      <x:c r="AZ128" s="12" t="str">
        <x:v>High</x:v>
      </x:c>
      <x:c r="BA128" s="12" t="n">
        <x:v>10</x:v>
      </x:c>
      <x:c r="BB128" s="12" t="n">
        <x:f>COUNTIFS($C$2:$C$344,C128,$AW$2:$AW$344,"&gt;"&amp;AW128,$G$2:$G$344,"&gt;0")+COUNTIFS($C$2:C128,C128,$AW$2:AW128,AW128,$G$2:G128,"&gt;0")</x:f>
        <x:v>87</x:v>
      </x:c>
      <x:c r="BC128" s="12" t="n">
        <x:v>87</x:v>
      </x:c>
      <x:c r="BD128" s="12" t="str">
        <x:f>IF(BB128&lt;BC128,"↑",IF(BB128&gt;BC128,"↓","→"))</x:f>
        <x:v>→</x:v>
      </x:c>
      <x:c r="BE128" s="23" t="str">
        <x:v>Fantasy Football Brief ROS baseline; official NFL schedule</x:v>
      </x:c>
      <x:c r="BF128" s="23" t="str">
        <x:v>Current role and availability baseline; all adjustment factors shown numerically</x:v>
      </x:c>
      <x:c r="BG128" s="23" t="str">
        <x:v>Material injury, depth-chart, or role change</x:v>
      </x:c>
      <x:c r="BH128" s="24" t="str">
        <x:v>2026-09-23 10:35 CT</x:v>
      </x:c>
    </x:row>
    <x:row r="129">
      <x:c r="A129" s="12" t="str">
        <x:v>Bam Knight</x:v>
      </x:c>
      <x:c r="B129" s="12" t="str">
        <x:v>ARI</x:v>
      </x:c>
      <x:c r="C129" s="12" t="str">
        <x:v>RB</x:v>
      </x:c>
      <x:c r="D129" s="12" t="str">
        <x:v>SF</x:v>
      </x:c>
      <x:c r="E129" s="12" t="str">
        <x:v>Away</x:v>
      </x:c>
      <x:c r="F129" s="12" t="str">
        <x:v>2026-09-27</x:v>
      </x:c>
      <x:c r="G129" s="19" t="n">
        <x:v>1</x:v>
      </x:c>
      <x:c r="H129" s="20" t="str">
        <x:v>ACTIVE</x:v>
      </x:c>
      <x:c r="I129" s="20" t="n">
        <x:v>36</x:v>
      </x:c>
      <x:c r="J129" s="20" t="str">
        <x:v>Opportunities</x:v>
      </x:c>
      <x:c r="K129" s="20" t="n">
        <x:v>2.672064777327935</x:v>
      </x:c>
      <x:c r="L129" s="21" t="n">
        <x:v>0</x:v>
      </x:c>
      <x:c r="M129" s="21" t="n">
        <x:v>0</x:v>
      </x:c>
      <x:c r="N129" s="21" t="n">
        <x:v>0</x:v>
      </x:c>
      <x:c r="O129" s="21" t="n">
        <x:v>0</x:v>
      </x:c>
      <x:c r="P129" s="21" t="n">
        <x:v>0</x:v>
      </x:c>
      <x:c r="Q129" s="21" t="n">
        <x:v>0</x:v>
      </x:c>
      <x:c r="R129" s="21" t="n">
        <x:v>0</x:v>
      </x:c>
      <x:c r="S129" s="21" t="n">
        <x:v>0</x:v>
      </x:c>
      <x:c r="T129" s="21" t="n">
        <x:v>2.1052631578947367</x:v>
      </x:c>
      <x:c r="U129" s="21" t="n">
        <x:v>8.82914979757085</x:v>
      </x:c>
      <x:c r="V129" s="21" t="n">
        <x:v>0.06089068825910931</x:v>
      </x:c>
      <x:c r="W129" s="21" t="n">
        <x:v>0.5668016194331984</x:v>
      </x:c>
      <x:c r="X129" s="21" t="n">
        <x:v>0.43724696356275305</x:v>
      </x:c>
      <x:c r="Y129" s="21" t="n">
        <x:v>3.348987854251012</x:v>
      </x:c>
      <x:c r="Z129" s="21" t="n">
        <x:v>0.015222672064777327</x:v>
      </x:c>
      <x:c r="AA129" s="21" t="n">
        <x:v>0</x:v>
      </x:c>
      <x:c r="AB129" s="21" t="n">
        <x:v>0</x:v>
      </x:c>
      <x:c r="AC129" s="21" t="n">
        <x:v>0</x:v>
      </x:c>
      <x:c r="AD129" s="21" t="n">
        <x:v>0</x:v>
      </x:c>
      <x:c r="AE129" s="21" t="n">
        <x:v>0</x:v>
      </x:c>
      <x:c r="AF129" s="21" t="n">
        <x:v>0</x:v>
      </x:c>
      <x:c r="AG129" s="21" t="n">
        <x:v>0</x:v>
      </x:c>
      <x:c r="AH129" s="21" t="n">
        <x:v>0</x:v>
      </x:c>
      <x:c r="AI129" s="21" t="n">
        <x:v>0</x:v>
      </x:c>
      <x:c r="AJ129" s="21" t="n">
        <x:v>0</x:v>
      </x:c>
      <x:c r="AK129" s="21" t="n">
        <x:v>0</x:v>
      </x:c>
      <x:c r="AL129" s="21" t="n">
        <x:v>0</x:v>
      </x:c>
      <x:c r="AM129" s="21" t="n">
        <x:v>1</x:v>
      </x:c>
      <x:c r="AN129" s="21" t="n">
        <x:v>1</x:v>
      </x:c>
      <x:c r="AO129" s="21" t="n">
        <x:v>1</x:v>
      </x:c>
      <x:c r="AP129" s="21" t="n">
        <x:v>1</x:v>
      </x:c>
      <x:c r="AQ129" s="21" t="n">
        <x:v>0.94</x:v>
      </x:c>
      <x:c r="AR129" s="21" t="n">
        <x:v>1</x:v>
      </x:c>
      <x:c r="AS129" s="21" t="n">
        <x:v>1</x:v>
      </x:c>
      <x:c r="AT129" s="21" t="n">
        <x:v>1</x:v>
      </x:c>
      <x:c r="AU129" s="21" t="n">
        <x:v>0</x:v>
      </x:c>
      <x:c r="AV129" s="22" t="n">
        <x:f>IF(C129="QB",N129*0.04+O129*4-P129*2+R129*0.1+S129*6,IF(OR(C129="RB",C129="WR",C129="TE"),U129*0.1+V129*6+R129*0.1+S129*6+X129*0.5+Y129*0.1+Z129*6,IF(C129="K",AC129*3+AD129*4+AE129*5+AF129,IF(C129="DST",AG129+AH129*2+AI129*6+AL129,0))))</x:f>
        <x:v>1.8931174089068825</x:v>
      </x:c>
      <x:c r="AW129" s="22" t="n">
        <x:f>(AV129+AU129)*G129</x:f>
        <x:v>1.8931174089068825</x:v>
      </x:c>
      <x:c r="AX129" s="22" t="n">
        <x:f>MAX(0,AW129*IF(C129="QB",0.68,IF(C129="RB",0.58,IF(C129="WR",0.52,IF(C129="TE",0.50,IF(C129="K",0.55,0.40))))))</x:f>
        <x:v>1.0980080971659918</x:v>
      </x:c>
      <x:c r="AY129" s="22" t="n">
        <x:f>AW129*IF(C129="QB",1.32,IF(C129="RB",1.45,IF(C129="WR",1.55,IF(C129="TE",1.60,IF(C129="K",1.45,1.65)))))</x:f>
        <x:v>2.7450202429149795</x:v>
      </x:c>
      <x:c r="AZ129" s="12" t="str">
        <x:v>High</x:v>
      </x:c>
      <x:c r="BA129" s="12" t="n">
        <x:v>10</x:v>
      </x:c>
      <x:c r="BB129" s="12" t="n">
        <x:f>COUNTIFS($C$2:$C$344,C129,$AW$2:$AW$344,"&gt;"&amp;AW129,$G$2:$G$344,"&gt;0")+COUNTIFS($C$2:C129,C129,$AW$2:AW129,AW129,$G$2:G129,"&gt;0")</x:f>
        <x:v>88</x:v>
      </x:c>
      <x:c r="BC129" s="12" t="n">
        <x:v>88</x:v>
      </x:c>
      <x:c r="BD129" s="12" t="str">
        <x:f>IF(BB129&lt;BC129,"↑",IF(BB129&gt;BC129,"↓","→"))</x:f>
        <x:v>→</x:v>
      </x:c>
      <x:c r="BE129" s="23" t="str">
        <x:v>Fantasy Football Brief ROS baseline; official NFL schedule</x:v>
      </x:c>
      <x:c r="BF129" s="23" t="str">
        <x:v>Current role and availability baseline; all adjustment factors shown numerically</x:v>
      </x:c>
      <x:c r="BG129" s="23" t="str">
        <x:v>Material injury, depth-chart, or role change</x:v>
      </x:c>
      <x:c r="BH129" s="24" t="str">
        <x:v>2026-09-23 10:35 CT</x:v>
      </x:c>
    </x:row>
    <x:row r="130">
      <x:c r="A130" s="12" t="str">
        <x:v>Trey Benson</x:v>
      </x:c>
      <x:c r="B130" s="12" t="str">
        <x:v>ARI</x:v>
      </x:c>
      <x:c r="C130" s="12" t="str">
        <x:v>RB</x:v>
      </x:c>
      <x:c r="D130" s="12" t="str">
        <x:v>SF</x:v>
      </x:c>
      <x:c r="E130" s="12" t="str">
        <x:v>Away</x:v>
      </x:c>
      <x:c r="F130" s="12" t="str">
        <x:v>2026-09-27</x:v>
      </x:c>
      <x:c r="G130" s="19" t="n">
        <x:v>0</x:v>
      </x:c>
      <x:c r="H130" s="20" t="str">
        <x:v>WAIVED/INJURED</x:v>
      </x:c>
      <x:c r="I130" s="20" t="n">
        <x:v>36</x:v>
      </x:c>
      <x:c r="J130" s="20" t="str">
        <x:v>Opportunities</x:v>
      </x:c>
      <x:c r="K130" s="20" t="n">
        <x:v>2.672064777327935</x:v>
      </x:c>
      <x:c r="L130" s="21" t="n">
        <x:v>0</x:v>
      </x:c>
      <x:c r="M130" s="21" t="n">
        <x:v>0</x:v>
      </x:c>
      <x:c r="N130" s="21" t="n">
        <x:v>0</x:v>
      </x:c>
      <x:c r="O130" s="21" t="n">
        <x:v>0</x:v>
      </x:c>
      <x:c r="P130" s="21" t="n">
        <x:v>0</x:v>
      </x:c>
      <x:c r="Q130" s="21" t="n">
        <x:v>0</x:v>
      </x:c>
      <x:c r="R130" s="21" t="n">
        <x:v>0</x:v>
      </x:c>
      <x:c r="S130" s="21" t="n">
        <x:v>0</x:v>
      </x:c>
      <x:c r="T130" s="21" t="n">
        <x:v>2.1052631578947367</x:v>
      </x:c>
      <x:c r="U130" s="21" t="n">
        <x:v>8.82914979757085</x:v>
      </x:c>
      <x:c r="V130" s="21" t="n">
        <x:v>0.06089068825910931</x:v>
      </x:c>
      <x:c r="W130" s="21" t="n">
        <x:v>0.5668016194331984</x:v>
      </x:c>
      <x:c r="X130" s="21" t="n">
        <x:v>0.43724696356275305</x:v>
      </x:c>
      <x:c r="Y130" s="21" t="n">
        <x:v>3.348987854251012</x:v>
      </x:c>
      <x:c r="Z130" s="21" t="n">
        <x:v>0.015222672064777327</x:v>
      </x:c>
      <x:c r="AA130" s="21" t="n">
        <x:v>0</x:v>
      </x:c>
      <x:c r="AB130" s="21" t="n">
        <x:v>0</x:v>
      </x:c>
      <x:c r="AC130" s="21" t="n">
        <x:v>0</x:v>
      </x:c>
      <x:c r="AD130" s="21" t="n">
        <x:v>0</x:v>
      </x:c>
      <x:c r="AE130" s="21" t="n">
        <x:v>0</x:v>
      </x:c>
      <x:c r="AF130" s="21" t="n">
        <x:v>0</x:v>
      </x:c>
      <x:c r="AG130" s="21" t="n">
        <x:v>0</x:v>
      </x:c>
      <x:c r="AH130" s="21" t="n">
        <x:v>0</x:v>
      </x:c>
      <x:c r="AI130" s="21" t="n">
        <x:v>0</x:v>
      </x:c>
      <x:c r="AJ130" s="21" t="n">
        <x:v>0</x:v>
      </x:c>
      <x:c r="AK130" s="21" t="n">
        <x:v>0</x:v>
      </x:c>
      <x:c r="AL130" s="21" t="n">
        <x:v>0</x:v>
      </x:c>
      <x:c r="AM130" s="21" t="n">
        <x:v>1</x:v>
      </x:c>
      <x:c r="AN130" s="21" t="n">
        <x:v>1</x:v>
      </x:c>
      <x:c r="AO130" s="21" t="n">
        <x:v>1</x:v>
      </x:c>
      <x:c r="AP130" s="21" t="n">
        <x:v>1</x:v>
      </x:c>
      <x:c r="AQ130" s="21" t="n">
        <x:v>0.94</x:v>
      </x:c>
      <x:c r="AR130" s="21" t="n">
        <x:v>1</x:v>
      </x:c>
      <x:c r="AS130" s="21" t="n">
        <x:v>1</x:v>
      </x:c>
      <x:c r="AT130" s="21" t="n">
        <x:v>1</x:v>
      </x:c>
      <x:c r="AU130" s="21" t="n">
        <x:v>0</x:v>
      </x:c>
      <x:c r="AV130" s="22" t="n">
        <x:f>IF(C130="QB",N130*0.04+O130*4-P130*2+R130*0.1+S130*6,IF(OR(C130="RB",C130="WR",C130="TE"),U130*0.1+V130*6+R130*0.1+S130*6+X130*0.5+Y130*0.1+Z130*6,IF(C130="K",AC130*3+AD130*4+AE130*5+AF130,IF(C130="DST",AG130+AH130*2+AI130*6+AL130,0))))</x:f>
        <x:v>1.8931174089068825</x:v>
      </x:c>
      <x:c r="AW130" s="22" t="n">
        <x:f>(AV130+AU130)*G130</x:f>
        <x:v>0</x:v>
      </x:c>
      <x:c r="AX130" s="22" t="n">
        <x:f>MAX(0,AW130*IF(C130="QB",0.68,IF(C130="RB",0.58,IF(C130="WR",0.52,IF(C130="TE",0.50,IF(C130="K",0.55,0.40))))))</x:f>
        <x:v>0</x:v>
      </x:c>
      <x:c r="AY130" s="22" t="n">
        <x:f>AW130*IF(C130="QB",1.32,IF(C130="RB",1.45,IF(C130="WR",1.55,IF(C130="TE",1.60,IF(C130="K",1.45,1.65)))))</x:f>
        <x:v>0</x:v>
      </x:c>
      <x:c r="AZ130" s="12" t="str">
        <x:v>High</x:v>
      </x:c>
      <x:c r="BA130" s="12" t="n">
        <x:v>10</x:v>
      </x:c>
      <x:c r="BB130" s="12"/>
      <x:c r="BC130" s="12" t="str">
        <x:v>NR</x:v>
      </x:c>
      <x:c r="BD130" s="12" t="str">
        <x:v>New</x:v>
      </x:c>
      <x:c r="BE130" s="23" t="str">
        <x:v>https://www.azcardinals.com/team/transactions/</x:v>
      </x:c>
      <x:c r="BF130" s="23" t="str">
        <x:v>Arizona waived Benson with an injury designation on August 24; he is not in the active Week 3 pool. Conditional inputs remain visible for audit; expected Week 3 points are zero.</x:v>
      </x:c>
      <x:c r="BG130" s="23" t="str">
        <x:v>Official activation or new-team transaction</x:v>
      </x:c>
      <x:c r="BH130" s="24" t="str">
        <x:v>2026-09-24 1:18 PM CT</x:v>
      </x:c>
    </x:row>
    <x:row r="131">
      <x:c r="A131" s="12" t="str">
        <x:v>Jarquez Hunter</x:v>
      </x:c>
      <x:c r="B131" s="12" t="str">
        <x:v>MIA</x:v>
      </x:c>
      <x:c r="C131" s="12" t="str">
        <x:v>RB</x:v>
      </x:c>
      <x:c r="D131" s="12" t="str">
        <x:v>KC</x:v>
      </x:c>
      <x:c r="E131" s="12" t="str">
        <x:v>Home</x:v>
      </x:c>
      <x:c r="F131" s="12" t="str">
        <x:v>2026-09-27</x:v>
      </x:c>
      <x:c r="G131" s="19" t="n">
        <x:v>1</x:v>
      </x:c>
      <x:c r="H131" s="20" t="str">
        <x:v>ACTIVE</x:v>
      </x:c>
      <x:c r="I131" s="20" t="n">
        <x:v>36</x:v>
      </x:c>
      <x:c r="J131" s="20" t="str">
        <x:v>Opportunities</x:v>
      </x:c>
      <x:c r="K131" s="20" t="n">
        <x:v>2.672064777327935</x:v>
      </x:c>
      <x:c r="L131" s="21" t="n">
        <x:v>0</x:v>
      </x:c>
      <x:c r="M131" s="21" t="n">
        <x:v>0</x:v>
      </x:c>
      <x:c r="N131" s="21" t="n">
        <x:v>0</x:v>
      </x:c>
      <x:c r="O131" s="21" t="n">
        <x:v>0</x:v>
      </x:c>
      <x:c r="P131" s="21" t="n">
        <x:v>0</x:v>
      </x:c>
      <x:c r="Q131" s="21" t="n">
        <x:v>0</x:v>
      </x:c>
      <x:c r="R131" s="21" t="n">
        <x:v>0</x:v>
      </x:c>
      <x:c r="S131" s="21" t="n">
        <x:v>0</x:v>
      </x:c>
      <x:c r="T131" s="21" t="n">
        <x:v>2.1052631578947367</x:v>
      </x:c>
      <x:c r="U131" s="21" t="n">
        <x:v>8.746493927125504</x:v>
      </x:c>
      <x:c r="V131" s="21" t="n">
        <x:v>0.06032064777327935</x:v>
      </x:c>
      <x:c r="W131" s="21" t="n">
        <x:v>0.5668016194331984</x:v>
      </x:c>
      <x:c r="X131" s="21" t="n">
        <x:v>0.43724696356275305</x:v>
      </x:c>
      <x:c r="Y131" s="21" t="n">
        <x:v>3.317635627530364</x:v>
      </x:c>
      <x:c r="Z131" s="21" t="n">
        <x:v>0.015080161943319837</x:v>
      </x:c>
      <x:c r="AA131" s="21" t="n">
        <x:v>0</x:v>
      </x:c>
      <x:c r="AB131" s="21" t="n">
        <x:v>0</x:v>
      </x:c>
      <x:c r="AC131" s="21" t="n">
        <x:v>0</x:v>
      </x:c>
      <x:c r="AD131" s="21" t="n">
        <x:v>0</x:v>
      </x:c>
      <x:c r="AE131" s="21" t="n">
        <x:v>0</x:v>
      </x:c>
      <x:c r="AF131" s="21" t="n">
        <x:v>0</x:v>
      </x:c>
      <x:c r="AG131" s="21" t="n">
        <x:v>0</x:v>
      </x:c>
      <x:c r="AH131" s="21" t="n">
        <x:v>0</x:v>
      </x:c>
      <x:c r="AI131" s="21" t="n">
        <x:v>0</x:v>
      </x:c>
      <x:c r="AJ131" s="21" t="n">
        <x:v>0</x:v>
      </x:c>
      <x:c r="AK131" s="21" t="n">
        <x:v>0</x:v>
      </x:c>
      <x:c r="AL131" s="21" t="n">
        <x:v>0</x:v>
      </x:c>
      <x:c r="AM131" s="21" t="n">
        <x:v>1</x:v>
      </x:c>
      <x:c r="AN131" s="21" t="n">
        <x:v>1</x:v>
      </x:c>
      <x:c r="AO131" s="21" t="n">
        <x:v>1</x:v>
      </x:c>
      <x:c r="AP131" s="21" t="n">
        <x:v>0.97</x:v>
      </x:c>
      <x:c r="AQ131" s="21" t="n">
        <x:v>0.96</x:v>
      </x:c>
      <x:c r="AR131" s="21" t="n">
        <x:v>1</x:v>
      </x:c>
      <x:c r="AS131" s="21" t="n">
        <x:v>1</x:v>
      </x:c>
      <x:c r="AT131" s="21" t="n">
        <x:v>1</x:v>
      </x:c>
      <x:c r="AU131" s="21" t="n">
        <x:v>0</x:v>
      </x:c>
      <x:c r="AV131" s="22" t="n">
        <x:f>IF(C131="QB",N131*0.04+O131*4-P131*2+R131*0.1+S131*6,IF(OR(C131="RB",C131="WR",C131="TE"),U131*0.1+V131*6+R131*0.1+S131*6+X131*0.5+Y131*0.1+Z131*6,IF(C131="K",AC131*3+AD131*4+AE131*5+AF131,IF(C131="DST",AG131+AH131*2+AI131*6+AL131,0))))</x:f>
        <x:v>1.8774412955465587</x:v>
      </x:c>
      <x:c r="AW131" s="22" t="n">
        <x:f>(AV131+AU131)*G131</x:f>
        <x:v>1.8774412955465587</x:v>
      </x:c>
      <x:c r="AX131" s="22" t="n">
        <x:f>MAX(0,AW131*IF(C131="QB",0.68,IF(C131="RB",0.58,IF(C131="WR",0.52,IF(C131="TE",0.50,IF(C131="K",0.55,0.40))))))</x:f>
        <x:v>1.088915951417004</x:v>
      </x:c>
      <x:c r="AY131" s="22" t="n">
        <x:f>AW131*IF(C131="QB",1.32,IF(C131="RB",1.45,IF(C131="WR",1.55,IF(C131="TE",1.60,IF(C131="K",1.45,1.65)))))</x:f>
        <x:v>2.72228987854251</x:v>
      </x:c>
      <x:c r="AZ131" s="12" t="str">
        <x:v>High</x:v>
      </x:c>
      <x:c r="BA131" s="12" t="n">
        <x:v>10</x:v>
      </x:c>
      <x:c r="BB131" s="12" t="n">
        <x:f>COUNTIFS($C$2:$C$344,C131,$AW$2:$AW$344,"&gt;"&amp;AW131,$G$2:$G$344,"&gt;0")+COUNTIFS($C$2:C131,C131,$AW$2:AW131,AW131,$G$2:G131,"&gt;0")</x:f>
        <x:v>89</x:v>
      </x:c>
      <x:c r="BC131" s="12" t="n">
        <x:v>89</x:v>
      </x:c>
      <x:c r="BD131" s="12" t="str">
        <x:f>IF(BB131&lt;BC131,"↑",IF(BB131&gt;BC131,"↓","→"))</x:f>
        <x:v>→</x:v>
      </x:c>
      <x:c r="BE131" s="23" t="str">
        <x:v>Fantasy Football Brief ROS baseline; official NFL schedule</x:v>
      </x:c>
      <x:c r="BF131" s="23" t="str">
        <x:v>Current role and availability baseline; all adjustment factors shown numerically</x:v>
      </x:c>
      <x:c r="BG131" s="23" t="str">
        <x:v>Material injury, depth-chart, or role change</x:v>
      </x:c>
      <x:c r="BH131" s="24" t="str">
        <x:v>2026-09-23 10:35 CT</x:v>
      </x:c>
    </x:row>
    <x:row r="132">
      <x:c r="A132" s="12" t="str">
        <x:v>Isaac Guerendo</x:v>
      </x:c>
      <x:c r="B132" s="12" t="str">
        <x:v>SF</x:v>
      </x:c>
      <x:c r="C132" s="12" t="str">
        <x:v>RB</x:v>
      </x:c>
      <x:c r="D132" s="12" t="str">
        <x:v>ARI</x:v>
      </x:c>
      <x:c r="E132" s="12" t="str">
        <x:v>Home</x:v>
      </x:c>
      <x:c r="F132" s="12" t="str">
        <x:v>2026-09-27</x:v>
      </x:c>
      <x:c r="G132" s="19" t="n">
        <x:v>0</x:v>
      </x:c>
      <x:c r="H132" s="20" t="str">
        <x:v>PUP</x:v>
      </x:c>
      <x:c r="I132" s="20" t="n">
        <x:v>28.8</x:v>
      </x:c>
      <x:c r="J132" s="20" t="str">
        <x:v>Opportunities</x:v>
      </x:c>
      <x:c r="K132" s="20" t="n">
        <x:v>2.672064777327935</x:v>
      </x:c>
      <x:c r="L132" s="21" t="n">
        <x:v>0</x:v>
      </x:c>
      <x:c r="M132" s="21" t="n">
        <x:v>0</x:v>
      </x:c>
      <x:c r="N132" s="21" t="n">
        <x:v>0</x:v>
      </x:c>
      <x:c r="O132" s="21" t="n">
        <x:v>0</x:v>
      </x:c>
      <x:c r="P132" s="21" t="n">
        <x:v>0</x:v>
      </x:c>
      <x:c r="Q132" s="21" t="n">
        <x:v>0</x:v>
      </x:c>
      <x:c r="R132" s="21" t="n">
        <x:v>0</x:v>
      </x:c>
      <x:c r="S132" s="21" t="n">
        <x:v>0</x:v>
      </x:c>
      <x:c r="T132" s="21" t="n">
        <x:v>2.1052631578947367</x:v>
      </x:c>
      <x:c r="U132" s="21" t="n">
        <x:v>9.580566801619433</x:v>
      </x:c>
      <x:c r="V132" s="21" t="n">
        <x:v>0.06607287449392713</x:v>
      </x:c>
      <x:c r="W132" s="21" t="n">
        <x:v>0.5668016194331984</x:v>
      </x:c>
      <x:c r="X132" s="21" t="n">
        <x:v>0.43724696356275305</x:v>
      </x:c>
      <x:c r="Y132" s="21" t="n">
        <x:v>3.634008097165992</x:v>
      </x:c>
      <x:c r="Z132" s="21" t="n">
        <x:v>0.01651821862348178</x:v>
      </x:c>
      <x:c r="AA132" s="21" t="n">
        <x:v>0</x:v>
      </x:c>
      <x:c r="AB132" s="21" t="n">
        <x:v>0</x:v>
      </x:c>
      <x:c r="AC132" s="21" t="n">
        <x:v>0</x:v>
      </x:c>
      <x:c r="AD132" s="21" t="n">
        <x:v>0</x:v>
      </x:c>
      <x:c r="AE132" s="21" t="n">
        <x:v>0</x:v>
      </x:c>
      <x:c r="AF132" s="21" t="n">
        <x:v>0</x:v>
      </x:c>
      <x:c r="AG132" s="21" t="n">
        <x:v>0</x:v>
      </x:c>
      <x:c r="AH132" s="21" t="n">
        <x:v>0</x:v>
      </x:c>
      <x:c r="AI132" s="21" t="n">
        <x:v>0</x:v>
      </x:c>
      <x:c r="AJ132" s="21" t="n">
        <x:v>0</x:v>
      </x:c>
      <x:c r="AK132" s="21" t="n">
        <x:v>0</x:v>
      </x:c>
      <x:c r="AL132" s="21" t="n">
        <x:v>0</x:v>
      </x:c>
      <x:c r="AM132" s="21" t="n">
        <x:v>0.8</x:v>
      </x:c>
      <x:c r="AN132" s="21" t="n">
        <x:v>1</x:v>
      </x:c>
      <x:c r="AO132" s="21" t="n">
        <x:v>1</x:v>
      </x:c>
      <x:c r="AP132" s="21" t="n">
        <x:v>1.02</x:v>
      </x:c>
      <x:c r="AQ132" s="21" t="n">
        <x:v>1</x:v>
      </x:c>
      <x:c r="AR132" s="21" t="n">
        <x:v>1</x:v>
      </x:c>
      <x:c r="AS132" s="21" t="n">
        <x:v>1</x:v>
      </x:c>
      <x:c r="AT132" s="21" t="n">
        <x:v>1</x:v>
      </x:c>
      <x:c r="AU132" s="21" t="n">
        <x:v>0</x:v>
      </x:c>
      <x:c r="AV132" s="22" t="n">
        <x:f>IF(C132="QB",N132*0.04+O132*4-P132*2+R132*0.1+S132*6,IF(OR(C132="RB",C132="WR",C132="TE"),U132*0.1+V132*6+R132*0.1+S132*6+X132*0.5+Y132*0.1+Z132*6,IF(C132="K",AC132*3+AD132*4+AE132*5+AF132,IF(C132="DST",AG132+AH132*2+AI132*6+AL132,0))))</x:f>
        <x:v>2.0356275303643727</x:v>
      </x:c>
      <x:c r="AW132" s="22" t="n">
        <x:f>(AV132+AU132)*G132</x:f>
        <x:v>0</x:v>
      </x:c>
      <x:c r="AX132" s="22" t="n">
        <x:f>MAX(0,AW132*IF(C132="QB",0.68,IF(C132="RB",0.58,IF(C132="WR",0.52,IF(C132="TE",0.50,IF(C132="K",0.55,0.40))))))</x:f>
        <x:v>0</x:v>
      </x:c>
      <x:c r="AY132" s="22" t="n">
        <x:f>AW132*IF(C132="QB",1.32,IF(C132="RB",1.45,IF(C132="WR",1.55,IF(C132="TE",1.60,IF(C132="K",1.45,1.65)))))</x:f>
        <x:v>0</x:v>
      </x:c>
      <x:c r="AZ132" s="12" t="str">
        <x:v>High</x:v>
      </x:c>
      <x:c r="BA132" s="12" t="n">
        <x:v>10</x:v>
      </x:c>
      <x:c r="BB132" s="12"/>
      <x:c r="BC132" s="12" t="str">
        <x:v>NR</x:v>
      </x:c>
      <x:c r="BD132" s="12" t="str">
        <x:v>New</x:v>
      </x:c>
      <x:c r="BE132" s="23" t="str">
        <x:v>https://www.ninersnation.com/san-francisco-49ers-injuries/161922/isaac-guerendo-to-begin-the-season-on-the-reserve-pup</x:v>
      </x:c>
      <x:c r="BF132" s="23" t="str">
        <x:v>San Francisco opened the season with Guerendo on reserve/PUP; he is unavailable for Week 3. Conditional inputs remain visible for audit; expected Week 3 points are zero.</x:v>
      </x:c>
      <x:c r="BG132" s="23" t="str">
        <x:v>Official activation or new-team transaction</x:v>
      </x:c>
      <x:c r="BH132" s="24" t="str">
        <x:v>2026-09-24 1:18 PM CT</x:v>
      </x:c>
    </x:row>
    <x:row r="133">
      <x:c r="A133" s="12" t="str">
        <x:v>Isiah Pacheco</x:v>
      </x:c>
      <x:c r="B133" s="12" t="str">
        <x:v>DET</x:v>
      </x:c>
      <x:c r="C133" s="12" t="str">
        <x:v>RB</x:v>
      </x:c>
      <x:c r="D133" s="12" t="str">
        <x:v>NYJ</x:v>
      </x:c>
      <x:c r="E133" s="12" t="str">
        <x:v>Home</x:v>
      </x:c>
      <x:c r="F133" s="12" t="str">
        <x:v>2026-09-27</x:v>
      </x:c>
      <x:c r="G133" s="19" t="n">
        <x:v>0</x:v>
      </x:c>
      <x:c r="H133" s="20" t="str">
        <x:v>IR</x:v>
      </x:c>
      <x:c r="I133" s="20" t="n">
        <x:v>8.4</x:v>
      </x:c>
      <x:c r="J133" s="20" t="str">
        <x:v>Opportunities</x:v>
      </x:c>
      <x:c r="K133" s="20" t="n">
        <x:v>6.680161943319837</x:v>
      </x:c>
      <x:c r="L133" s="21" t="n">
        <x:v>0</x:v>
      </x:c>
      <x:c r="M133" s="21" t="n">
        <x:v>0</x:v>
      </x:c>
      <x:c r="N133" s="21" t="n">
        <x:v>0</x:v>
      </x:c>
      <x:c r="O133" s="21" t="n">
        <x:v>0</x:v>
      </x:c>
      <x:c r="P133" s="21" t="n">
        <x:v>0</x:v>
      </x:c>
      <x:c r="Q133" s="21" t="n">
        <x:v>0</x:v>
      </x:c>
      <x:c r="R133" s="21" t="n">
        <x:v>0</x:v>
      </x:c>
      <x:c r="S133" s="21" t="n">
        <x:v>0</x:v>
      </x:c>
      <x:c r="T133" s="21" t="n">
        <x:v>5.263157894736842</x:v>
      </x:c>
      <x:c r="U133" s="21" t="n">
        <x:v>24.4280971659919</x:v>
      </x:c>
      <x:c r="V133" s="21" t="n">
        <x:v>0.16846963562753037</x:v>
      </x:c>
      <x:c r="W133" s="21" t="n">
        <x:v>1.417004048582996</x:v>
      </x:c>
      <x:c r="X133" s="21" t="n">
        <x:v>1.0931174089068827</x:v>
      </x:c>
      <x:c r="Y133" s="21" t="n">
        <x:v>9.26582995951417</x:v>
      </x:c>
      <x:c r="Z133" s="21" t="n">
        <x:v>0.04211740890688259</x:v>
      </x:c>
      <x:c r="AA133" s="21" t="n">
        <x:v>0</x:v>
      </x:c>
      <x:c r="AB133" s="21" t="n">
        <x:v>0</x:v>
      </x:c>
      <x:c r="AC133" s="21" t="n">
        <x:v>0</x:v>
      </x:c>
      <x:c r="AD133" s="21" t="n">
        <x:v>0</x:v>
      </x:c>
      <x:c r="AE133" s="21" t="n">
        <x:v>0</x:v>
      </x:c>
      <x:c r="AF133" s="21" t="n">
        <x:v>0</x:v>
      </x:c>
      <x:c r="AG133" s="21" t="n">
        <x:v>0</x:v>
      </x:c>
      <x:c r="AH133" s="21" t="n">
        <x:v>0</x:v>
      </x:c>
      <x:c r="AI133" s="21" t="n">
        <x:v>0</x:v>
      </x:c>
      <x:c r="AJ133" s="21" t="n">
        <x:v>0</x:v>
      </x:c>
      <x:c r="AK133" s="21" t="n">
        <x:v>0</x:v>
      </x:c>
      <x:c r="AL133" s="21" t="n">
        <x:v>0</x:v>
      </x:c>
      <x:c r="AM133" s="21" t="n">
        <x:v>0.23333333333333334</x:v>
      </x:c>
      <x:c r="AN133" s="21" t="n">
        <x:v>1</x:v>
      </x:c>
      <x:c r="AO133" s="21" t="n">
        <x:v>1</x:v>
      </x:c>
      <x:c r="AP133" s="21" t="n">
        <x:v>1.03</x:v>
      </x:c>
      <x:c r="AQ133" s="21" t="n">
        <x:v>1.01</x:v>
      </x:c>
      <x:c r="AR133" s="21" t="n">
        <x:v>1</x:v>
      </x:c>
      <x:c r="AS133" s="21" t="n">
        <x:v>1</x:v>
      </x:c>
      <x:c r="AT133" s="21" t="n">
        <x:v>1</x:v>
      </x:c>
      <x:c r="AU133" s="21" t="n">
        <x:v>0</x:v>
      </x:c>
      <x:c r="AV133" s="22" t="n">
        <x:f>IF(C133="QB",N133*0.04+O133*4-P133*2+R133*0.1+S133*6,IF(OR(C133="RB",C133="WR",C133="TE"),U133*0.1+V133*6+R133*0.1+S133*6+X133*0.5+Y133*0.1+Z133*6,IF(C133="K",AC133*3+AD133*4+AE133*5+AF133,IF(C133="DST",AG133+AH133*2+AI133*6+AL133,0))))</x:f>
        <x:v>5.179473684210526</x:v>
      </x:c>
      <x:c r="AW133" s="22" t="n">
        <x:f>(AV133+AU133)*G133</x:f>
        <x:v>0</x:v>
      </x:c>
      <x:c r="AX133" s="22" t="n">
        <x:f>MAX(0,AW133*IF(C133="QB",0.68,IF(C133="RB",0.58,IF(C133="WR",0.52,IF(C133="TE",0.50,IF(C133="K",0.55,0.40))))))</x:f>
        <x:v>0</x:v>
      </x:c>
      <x:c r="AY133" s="22" t="n">
        <x:f>AW133*IF(C133="QB",1.32,IF(C133="RB",1.45,IF(C133="WR",1.55,IF(C133="TE",1.60,IF(C133="K",1.45,1.65)))))</x:f>
        <x:v>0</x:v>
      </x:c>
      <x:c r="AZ133" s="12" t="str">
        <x:v>High</x:v>
      </x:c>
      <x:c r="BA133" s="12" t="n">
        <x:v>10</x:v>
      </x:c>
      <x:c r="BB133" s="12"/>
      <x:c r="BC133" s="12" t="str">
        <x:v>NR</x:v>
      </x:c>
      <x:c r="BD133" s="12" t="str">
        <x:v>New</x:v>
      </x:c>
      <x:c r="BE133" s="23" t="str">
        <x:v>https://www.nbcsports.com/fantasy/football/news/2026-nfl-week-3-injury-report-jaxson-dart-mcl-chargers-down-two-tes-more-49ers-injuries</x:v>
      </x:c>
      <x:c r="BF133" s="23" t="str">
        <x:v>Kansas City placed Pacheco on injured reserve; he is unavailable for Week 3. Conditional inputs remain visible for audit; expected Week 3 points are zero.</x:v>
      </x:c>
      <x:c r="BG133" s="23" t="str">
        <x:v>Official activation or new-team transaction</x:v>
      </x:c>
      <x:c r="BH133" s="24" t="str">
        <x:v>2026-09-24 1:18 PM CT</x:v>
      </x:c>
    </x:row>
    <x:row r="134">
      <x:c r="A134" s="12" t="str">
        <x:v>Josh Jacobs</x:v>
      </x:c>
      <x:c r="B134" s="12" t="str">
        <x:v>GB</x:v>
      </x:c>
      <x:c r="C134" s="12" t="str">
        <x:v>RB</x:v>
      </x:c>
      <x:c r="D134" s="12" t="str">
        <x:v>ATL</x:v>
      </x:c>
      <x:c r="E134" s="12" t="str">
        <x:v>Home</x:v>
      </x:c>
      <x:c r="F134" s="12" t="str">
        <x:v>2026-09-24</x:v>
      </x:c>
      <x:c r="G134" s="19" t="n">
        <x:v>0</x:v>
      </x:c>
      <x:c r="H134" s="20" t="str">
        <x:v>OUT</x:v>
      </x:c>
      <x:c r="I134" s="20" t="n">
        <x:v>24</x:v>
      </x:c>
      <x:c r="J134" s="20" t="str">
        <x:v>Opportunities</x:v>
      </x:c>
      <x:c r="K134" s="20" t="n">
        <x:v>19.37246963562753</x:v>
      </x:c>
      <x:c r="L134" s="21" t="n">
        <x:v>0</x:v>
      </x:c>
      <x:c r="M134" s="21" t="n">
        <x:v>0</x:v>
      </x:c>
      <x:c r="N134" s="21" t="n">
        <x:v>0</x:v>
      </x:c>
      <x:c r="O134" s="21" t="n">
        <x:v>0</x:v>
      </x:c>
      <x:c r="P134" s="21" t="n">
        <x:v>0</x:v>
      </x:c>
      <x:c r="Q134" s="21" t="n">
        <x:v>0</x:v>
      </x:c>
      <x:c r="R134" s="21" t="n">
        <x:v>0</x:v>
      </x:c>
      <x:c r="S134" s="21" t="n">
        <x:v>0</x:v>
      </x:c>
      <x:c r="T134" s="21" t="n">
        <x:v>15.263157894736842</x:v>
      </x:c>
      <x:c r="U134" s="21" t="n">
        <x:v>70.1537004048583</x:v>
      </x:c>
      <x:c r="V134" s="21" t="n">
        <x:v>0.4838186234817814</x:v>
      </x:c>
      <x:c r="W134" s="21" t="n">
        <x:v>4.109311740890688</x:v>
      </x:c>
      <x:c r="X134" s="21" t="n">
        <x:v>3.1700404858299596</x:v>
      </x:c>
      <x:c r="Y134" s="21" t="n">
        <x:v>26.610024291497975</x:v>
      </x:c>
      <x:c r="Z134" s="21" t="n">
        <x:v>0.12095465587044535</x:v>
      </x:c>
      <x:c r="AA134" s="21" t="n">
        <x:v>0</x:v>
      </x:c>
      <x:c r="AB134" s="21" t="n">
        <x:v>0</x:v>
      </x:c>
      <x:c r="AC134" s="21" t="n">
        <x:v>0</x:v>
      </x:c>
      <x:c r="AD134" s="21" t="n">
        <x:v>0</x:v>
      </x:c>
      <x:c r="AE134" s="21" t="n">
        <x:v>0</x:v>
      </x:c>
      <x:c r="AF134" s="21" t="n">
        <x:v>0</x:v>
      </x:c>
      <x:c r="AG134" s="21" t="n">
        <x:v>0</x:v>
      </x:c>
      <x:c r="AH134" s="21" t="n">
        <x:v>0</x:v>
      </x:c>
      <x:c r="AI134" s="21" t="n">
        <x:v>0</x:v>
      </x:c>
      <x:c r="AJ134" s="21" t="n">
        <x:v>0</x:v>
      </x:c>
      <x:c r="AK134" s="21" t="n">
        <x:v>0</x:v>
      </x:c>
      <x:c r="AL134" s="21" t="n">
        <x:v>0</x:v>
      </x:c>
      <x:c r="AM134" s="21" t="n">
        <x:v>0</x:v>
      </x:c>
      <x:c r="AN134" s="21" t="n">
        <x:v>1</x:v>
      </x:c>
      <x:c r="AO134" s="21" t="n">
        <x:v>1</x:v>
      </x:c>
      <x:c r="AP134" s="21" t="n">
        <x:v>1.02</x:v>
      </x:c>
      <x:c r="AQ134" s="21" t="n">
        <x:v>1.01</x:v>
      </x:c>
      <x:c r="AR134" s="21" t="n">
        <x:v>1</x:v>
      </x:c>
      <x:c r="AS134" s="21" t="n">
        <x:v>1</x:v>
      </x:c>
      <x:c r="AT134" s="21" t="n">
        <x:v>1</x:v>
      </x:c>
      <x:c r="AU134" s="21" t="n">
        <x:v>0</x:v>
      </x:c>
      <x:c r="AV134" s="22" t="n">
        <x:f>IF(C134="QB",N134*0.04+O134*4-P134*2+R134*0.1+S134*6,IF(OR(C134="RB",C134="WR",C134="TE"),U134*0.1+V134*6+R134*0.1+S134*6+X134*0.5+Y134*0.1+Z134*6,IF(C134="K",AC134*3+AD134*4+AE134*5+AF134,IF(C134="DST",AG134+AH134*2+AI134*6+AL134,0))))</x:f>
        <x:v>14.89003238866397</x:v>
      </x:c>
      <x:c r="AW134" s="22" t="n">
        <x:f>(AV134+AU134)*G134</x:f>
        <x:v>0</x:v>
      </x:c>
      <x:c r="AX134" s="22" t="n">
        <x:f>MAX(0,AW134*IF(C134="QB",0.68,IF(C134="RB",0.58,IF(C134="WR",0.52,IF(C134="TE",0.50,IF(C134="K",0.55,0.40))))))</x:f>
        <x:v>0</x:v>
      </x:c>
      <x:c r="AY134" s="22" t="n">
        <x:f>AW134*IF(C134="QB",1.32,IF(C134="RB",1.45,IF(C134="WR",1.55,IF(C134="TE",1.60,IF(C134="K",1.45,1.65)))))</x:f>
        <x:v>0</x:v>
      </x:c>
      <x:c r="AZ134" s="12" t="str">
        <x:v>Low</x:v>
      </x:c>
      <x:c r="BA134" s="12" t="n">
        <x:v>10</x:v>
      </x:c>
      <x:c r="BB134" s="12"/>
      <x:c r="BC134" s="12" t="str">
        <x:v>NR</x:v>
      </x:c>
      <x:c r="BD134" s="12" t="str">
        <x:v>New</x:v>
      </x:c>
      <x:c r="BE134" s="23" t="str">
        <x:v>Fantasy Football Brief standing availability policy: excluded through Week 6 pending verified status news</x:v>
      </x:c>
      <x:c r="BF134" s="23" t="str">
        <x:v>Removed from the Week 3 board; hold only where roster space allows.</x:v>
      </x:c>
      <x:c r="BG134" s="23" t="str">
        <x:v>Verified reinstatement or official return date</x:v>
      </x:c>
      <x:c r="BH134" s="24" t="str">
        <x:v>2026-09-23 10:35 CT</x:v>
      </x:c>
    </x:row>
    <x:row r="135">
      <x:c r="A135" s="12" t="str">
        <x:v>Ja'Marr Chase</x:v>
      </x:c>
      <x:c r="B135" s="12" t="str">
        <x:v>CIN</x:v>
      </x:c>
      <x:c r="C135" s="12" t="str">
        <x:v>WR</x:v>
      </x:c>
      <x:c r="D135" s="12" t="str">
        <x:v>PIT</x:v>
      </x:c>
      <x:c r="E135" s="12" t="str">
        <x:v>Away</x:v>
      </x:c>
      <x:c r="F135" s="12" t="str">
        <x:v>2026-09-27</x:v>
      </x:c>
      <x:c r="G135" s="19" t="n">
        <x:v>1</x:v>
      </x:c>
      <x:c r="H135" s="20" t="str">
        <x:v>ACTIVE</x:v>
      </x:c>
      <x:c r="I135" s="20" t="n">
        <x:v>52</x:v>
      </x:c>
      <x:c r="J135" s="20" t="str">
        <x:v>Routes</x:v>
      </x:c>
      <x:c r="K135" s="20" t="n">
        <x:v>49.1207729468599</x:v>
      </x:c>
      <x:c r="L135" s="21" t="n">
        <x:v>0</x:v>
      </x:c>
      <x:c r="M135" s="21" t="n">
        <x:v>0</x:v>
      </x:c>
      <x:c r="N135" s="21" t="n">
        <x:v>0</x:v>
      </x:c>
      <x:c r="O135" s="21" t="n">
        <x:v>0</x:v>
      </x:c>
      <x:c r="P135" s="21" t="n">
        <x:v>0</x:v>
      </x:c>
      <x:c r="Q135" s="21" t="n">
        <x:v>0.3169082125603865</x:v>
      </x:c>
      <x:c r="R135" s="21" t="n">
        <x:v>3.104749758454106</x:v>
      </x:c>
      <x:c r="S135" s="21" t="n">
        <x:v>0</x:v>
      </x:c>
      <x:c r="T135" s="21" t="n">
        <x:v>0</x:v>
      </x:c>
      <x:c r="U135" s="21" t="n">
        <x:v>0</x:v>
      </x:c>
      <x:c r="V135" s="21" t="n">
        <x:v>0</x:v>
      </x:c>
      <x:c r="W135" s="21" t="n">
        <x:v>11.091787439613526</x:v>
      </x:c>
      <x:c r="X135" s="21" t="n">
        <x:v>7.130434782608695</x:v>
      </x:c>
      <x:c r="Y135" s="21" t="n">
        <x:v>90.03774299516908</x:v>
      </x:c>
      <x:c r="Z135" s="21" t="n">
        <x:v>0.5433312077294685</x:v>
      </x:c>
      <x:c r="AA135" s="21" t="n">
        <x:v>49.1207729468599</x:v>
      </x:c>
      <x:c r="AB135" s="21" t="n">
        <x:v>0.78</x:v>
      </x:c>
      <x:c r="AC135" s="21" t="n">
        <x:v>0</x:v>
      </x:c>
      <x:c r="AD135" s="21" t="n">
        <x:v>0</x:v>
      </x:c>
      <x:c r="AE135" s="21" t="n">
        <x:v>0</x:v>
      </x:c>
      <x:c r="AF135" s="21" t="n">
        <x:v>0</x:v>
      </x:c>
      <x:c r="AG135" s="21" t="n">
        <x:v>0</x:v>
      </x:c>
      <x:c r="AH135" s="21" t="n">
        <x:v>0</x:v>
      </x:c>
      <x:c r="AI135" s="21" t="n">
        <x:v>0</x:v>
      </x:c>
      <x:c r="AJ135" s="21" t="n">
        <x:v>0</x:v>
      </x:c>
      <x:c r="AK135" s="21" t="n">
        <x:v>0</x:v>
      </x:c>
      <x:c r="AL135" s="21" t="n">
        <x:v>0</x:v>
      </x:c>
      <x:c r="AM135" s="21" t="n">
        <x:v>1</x:v>
      </x:c>
      <x:c r="AN135" s="21" t="n">
        <x:v>1</x:v>
      </x:c>
      <x:c r="AO135" s="21" t="n">
        <x:v>1</x:v>
      </x:c>
      <x:c r="AP135" s="21" t="n">
        <x:v>1.01</x:v>
      </x:c>
      <x:c r="AQ135" s="21" t="n">
        <x:v>0.97</x:v>
      </x:c>
      <x:c r="AR135" s="21" t="n">
        <x:v>1</x:v>
      </x:c>
      <x:c r="AS135" s="21" t="n">
        <x:v>1</x:v>
      </x:c>
      <x:c r="AT135" s="21" t="n">
        <x:v>1</x:v>
      </x:c>
      <x:c r="AU135" s="21" t="n">
        <x:v>0</x:v>
      </x:c>
      <x:c r="AV135" s="22" t="n">
        <x:f>IF(C135="QB",N135*0.04+O135*4-P135*2+R135*0.1+S135*6,IF(OR(C135="RB",C135="WR",C135="TE"),U135*0.1+V135*6+R135*0.1+S135*6+X135*0.5+Y135*0.1+Z135*6,IF(C135="K",AC135*3+AD135*4+AE135*5+AF135,IF(C135="DST",AG135+AH135*2+AI135*6+AL135,0))))</x:f>
        <x:v>16.13945391304348</x:v>
      </x:c>
      <x:c r="AW135" s="22" t="n">
        <x:f>(AV135+AU135)*G135</x:f>
        <x:v>16.13945391304348</x:v>
      </x:c>
      <x:c r="AX135" s="22" t="n">
        <x:f>MAX(0,AW135*IF(C135="QB",0.68,IF(C135="RB",0.58,IF(C135="WR",0.52,IF(C135="TE",0.50,IF(C135="K",0.55,0.40))))))</x:f>
        <x:v>8.39251603478261</x:v>
      </x:c>
      <x:c r="AY135" s="22" t="n">
        <x:f>AW135*IF(C135="QB",1.32,IF(C135="RB",1.45,IF(C135="WR",1.55,IF(C135="TE",1.60,IF(C135="K",1.45,1.65)))))</x:f>
        <x:v>25.016153565217394</x:v>
      </x:c>
      <x:c r="AZ135" s="12" t="str">
        <x:v>High</x:v>
      </x:c>
      <x:c r="BA135" s="12" t="n">
        <x:v>1</x:v>
      </x:c>
      <x:c r="BB135" s="12" t="n">
        <x:f>COUNTIFS($C$2:$C$344,C135,$AW$2:$AW$344,"&gt;"&amp;AW135,$G$2:$G$344,"&gt;0")+COUNTIFS($C$2:C135,C135,$AW$2:AW135,AW135,$G$2:G135,"&gt;0")</x:f>
        <x:v>1</x:v>
      </x:c>
      <x:c r="BC135" s="12" t="n">
        <x:v>1</x:v>
      </x:c>
      <x:c r="BD135" s="12" t="str">
        <x:f>IF(BB135&lt;BC135,"↑",IF(BB135&gt;BC135,"↓","→"))</x:f>
        <x:v>→</x:v>
      </x:c>
      <x:c r="BE135" s="23" t="str">
        <x:v>Fantasy Football Brief ROS baseline; official NFL schedule</x:v>
      </x:c>
      <x:c r="BF135" s="23" t="str">
        <x:v>Current role and availability baseline; all adjustment factors shown numerically</x:v>
      </x:c>
      <x:c r="BG135" s="23" t="str">
        <x:v>Material injury, depth-chart, or role change</x:v>
      </x:c>
      <x:c r="BH135" s="24" t="str">
        <x:v>2026-09-23 10:35 CT</x:v>
      </x:c>
    </x:row>
    <x:row r="136">
      <x:c r="A136" s="12" t="str">
        <x:v>Jaxon Smith-Njigba</x:v>
      </x:c>
      <x:c r="B136" s="12" t="str">
        <x:v>SEA</x:v>
      </x:c>
      <x:c r="C136" s="12" t="str">
        <x:v>WR</x:v>
      </x:c>
      <x:c r="D136" s="12" t="str">
        <x:v>WAS</x:v>
      </x:c>
      <x:c r="E136" s="12" t="str">
        <x:v>Away</x:v>
      </x:c>
      <x:c r="F136" s="12" t="str">
        <x:v>2026-09-27</x:v>
      </x:c>
      <x:c r="G136" s="19" t="n">
        <x:v>1</x:v>
      </x:c>
      <x:c r="H136" s="20" t="str">
        <x:v>ACTIVE</x:v>
      </x:c>
      <x:c r="I136" s="20" t="n">
        <x:v>52</x:v>
      </x:c>
      <x:c r="J136" s="20" t="str">
        <x:v>Routes</x:v>
      </x:c>
      <x:c r="K136" s="20" t="n">
        <x:v>46.42512077294686</x:v>
      </x:c>
      <x:c r="L136" s="21" t="n">
        <x:v>0</x:v>
      </x:c>
      <x:c r="M136" s="21" t="n">
        <x:v>0</x:v>
      </x:c>
      <x:c r="N136" s="21" t="n">
        <x:v>0</x:v>
      </x:c>
      <x:c r="O136" s="21" t="n">
        <x:v>0</x:v>
      </x:c>
      <x:c r="P136" s="21" t="n">
        <x:v>0</x:v>
      </x:c>
      <x:c r="Q136" s="21" t="n">
        <x:v>0.2995169082125604</x:v>
      </x:c>
      <x:c r="R136" s="21" t="n">
        <x:v>3.085024154589372</x:v>
      </x:c>
      <x:c r="S136" s="21" t="n">
        <x:v>0</x:v>
      </x:c>
      <x:c r="T136" s="21" t="n">
        <x:v>0</x:v>
      </x:c>
      <x:c r="U136" s="21" t="n">
        <x:v>0</x:v>
      </x:c>
      <x:c r="V136" s="21" t="n">
        <x:v>0</x:v>
      </x:c>
      <x:c r="W136" s="21" t="n">
        <x:v>10.483091787439614</x:v>
      </x:c>
      <x:c r="X136" s="21" t="n">
        <x:v>6.739130434782608</x:v>
      </x:c>
      <x:c r="Y136" s="21" t="n">
        <x:v>89.4657004830918</x:v>
      </x:c>
      <x:c r="Z136" s="21" t="n">
        <x:v>0.5398792270531401</x:v>
      </x:c>
      <x:c r="AA136" s="21" t="n">
        <x:v>46.42512077294686</x:v>
      </x:c>
      <x:c r="AB136" s="21" t="n">
        <x:v>0.78</x:v>
      </x:c>
      <x:c r="AC136" s="21" t="n">
        <x:v>0</x:v>
      </x:c>
      <x:c r="AD136" s="21" t="n">
        <x:v>0</x:v>
      </x:c>
      <x:c r="AE136" s="21" t="n">
        <x:v>0</x:v>
      </x:c>
      <x:c r="AF136" s="21" t="n">
        <x:v>0</x:v>
      </x:c>
      <x:c r="AG136" s="21" t="n">
        <x:v>0</x:v>
      </x:c>
      <x:c r="AH136" s="21" t="n">
        <x:v>0</x:v>
      </x:c>
      <x:c r="AI136" s="21" t="n">
        <x:v>0</x:v>
      </x:c>
      <x:c r="AJ136" s="21" t="n">
        <x:v>0</x:v>
      </x:c>
      <x:c r="AK136" s="21" t="n">
        <x:v>0</x:v>
      </x:c>
      <x:c r="AL136" s="21" t="n">
        <x:v>0</x:v>
      </x:c>
      <x:c r="AM136" s="21" t="n">
        <x:v>1</x:v>
      </x:c>
      <x:c r="AN136" s="21" t="n">
        <x:v>1</x:v>
      </x:c>
      <x:c r="AO136" s="21" t="n">
        <x:v>1</x:v>
      </x:c>
      <x:c r="AP136" s="21" t="n">
        <x:v>1</x:v>
      </x:c>
      <x:c r="AQ136" s="21" t="n">
        <x:v>1.03</x:v>
      </x:c>
      <x:c r="AR136" s="21" t="n">
        <x:v>1</x:v>
      </x:c>
      <x:c r="AS136" s="21" t="n">
        <x:v>1</x:v>
      </x:c>
      <x:c r="AT136" s="21" t="n">
        <x:v>1</x:v>
      </x:c>
      <x:c r="AU136" s="21" t="n">
        <x:v>0</x:v>
      </x:c>
      <x:c r="AV136" s="22" t="n">
        <x:f>IF(C136="QB",N136*0.04+O136*4-P136*2+R136*0.1+S136*6,IF(OR(C136="RB",C136="WR",C136="TE"),U136*0.1+V136*6+R136*0.1+S136*6+X136*0.5+Y136*0.1+Z136*6,IF(C136="K",AC136*3+AD136*4+AE136*5+AF136,IF(C136="DST",AG136+AH136*2+AI136*6+AL136,0))))</x:f>
        <x:v>15.863913043478263</x:v>
      </x:c>
      <x:c r="AW136" s="22" t="n">
        <x:f>(AV136+AU136)*G136</x:f>
        <x:v>15.863913043478263</x:v>
      </x:c>
      <x:c r="AX136" s="22" t="n">
        <x:f>MAX(0,AW136*IF(C136="QB",0.68,IF(C136="RB",0.58,IF(C136="WR",0.52,IF(C136="TE",0.50,IF(C136="K",0.55,0.40))))))</x:f>
        <x:v>8.249234782608697</x:v>
      </x:c>
      <x:c r="AY136" s="22" t="n">
        <x:f>AW136*IF(C136="QB",1.32,IF(C136="RB",1.45,IF(C136="WR",1.55,IF(C136="TE",1.60,IF(C136="K",1.45,1.65)))))</x:f>
        <x:v>24.58906521739131</x:v>
      </x:c>
      <x:c r="AZ136" s="12" t="str">
        <x:v>High</x:v>
      </x:c>
      <x:c r="BA136" s="12" t="n">
        <x:v>1</x:v>
      </x:c>
      <x:c r="BB136" s="12" t="n">
        <x:f>COUNTIFS($C$2:$C$344,C136,$AW$2:$AW$344,"&gt;"&amp;AW136,$G$2:$G$344,"&gt;0")+COUNTIFS($C$2:C136,C136,$AW$2:AW136,AW136,$G$2:G136,"&gt;0")</x:f>
        <x:v>2</x:v>
      </x:c>
      <x:c r="BC136" s="12" t="n">
        <x:v>2</x:v>
      </x:c>
      <x:c r="BD136" s="12" t="str">
        <x:f>IF(BB136&lt;BC136,"↑",IF(BB136&gt;BC136,"↓","→"))</x:f>
        <x:v>→</x:v>
      </x:c>
      <x:c r="BE136" s="23" t="str">
        <x:v>Fantasy Football Brief ROS baseline; official NFL schedule</x:v>
      </x:c>
      <x:c r="BF136" s="23" t="str">
        <x:v>Current role and availability baseline; all adjustment factors shown numerically</x:v>
      </x:c>
      <x:c r="BG136" s="23" t="str">
        <x:v>Material injury, depth-chart, or role change</x:v>
      </x:c>
      <x:c r="BH136" s="24" t="str">
        <x:v>2026-09-23 10:35 CT</x:v>
      </x:c>
    </x:row>
    <x:row r="137">
      <x:c r="A137" s="12" t="str">
        <x:v>Amon-Ra St. Brown</x:v>
      </x:c>
      <x:c r="B137" s="12" t="str">
        <x:v>DET</x:v>
      </x:c>
      <x:c r="C137" s="12" t="str">
        <x:v>WR</x:v>
      </x:c>
      <x:c r="D137" s="12" t="str">
        <x:v>NYJ</x:v>
      </x:c>
      <x:c r="E137" s="12" t="str">
        <x:v>Home</x:v>
      </x:c>
      <x:c r="F137" s="12" t="str">
        <x:v>2026-09-27</x:v>
      </x:c>
      <x:c r="G137" s="19" t="n">
        <x:v>1</x:v>
      </x:c>
      <x:c r="H137" s="20" t="str">
        <x:v>ACTIVE</x:v>
      </x:c>
      <x:c r="I137" s="20" t="n">
        <x:v>52</x:v>
      </x:c>
      <x:c r="J137" s="20" t="str">
        <x:v>Routes</x:v>
      </x:c>
      <x:c r="K137" s="20" t="n">
        <x:v>44.927536231884055</x:v>
      </x:c>
      <x:c r="L137" s="21" t="n">
        <x:v>0</x:v>
      </x:c>
      <x:c r="M137" s="21" t="n">
        <x:v>0</x:v>
      </x:c>
      <x:c r="N137" s="21" t="n">
        <x:v>0</x:v>
      </x:c>
      <x:c r="O137" s="21" t="n">
        <x:v>0</x:v>
      </x:c>
      <x:c r="P137" s="21" t="n">
        <x:v>0</x:v>
      </x:c>
      <x:c r="Q137" s="21" t="n">
        <x:v>0.2898550724637681</x:v>
      </x:c>
      <x:c r="R137" s="21" t="n">
        <x:v>3.075072463768116</x:v>
      </x:c>
      <x:c r="S137" s="21" t="n">
        <x:v>0</x:v>
      </x:c>
      <x:c r="T137" s="21" t="n">
        <x:v>0</x:v>
      </x:c>
      <x:c r="U137" s="21" t="n">
        <x:v>0</x:v>
      </x:c>
      <x:c r="V137" s="21" t="n">
        <x:v>0</x:v>
      </x:c>
      <x:c r="W137" s="21" t="n">
        <x:v>10.144927536231885</x:v>
      </x:c>
      <x:c r="X137" s="21" t="n">
        <x:v>6.521739130434782</x:v>
      </x:c>
      <x:c r="Y137" s="21" t="n">
        <x:v>89.17710144927536</x:v>
      </x:c>
      <x:c r="Z137" s="21" t="n">
        <x:v>0.5381376811594202</x:v>
      </x:c>
      <x:c r="AA137" s="21" t="n">
        <x:v>44.927536231884055</x:v>
      </x:c>
      <x:c r="AB137" s="21" t="n">
        <x:v>0.78</x:v>
      </x:c>
      <x:c r="AC137" s="21" t="n">
        <x:v>0</x:v>
      </x:c>
      <x:c r="AD137" s="21" t="n">
        <x:v>0</x:v>
      </x:c>
      <x:c r="AE137" s="21" t="n">
        <x:v>0</x:v>
      </x:c>
      <x:c r="AF137" s="21" t="n">
        <x:v>0</x:v>
      </x:c>
      <x:c r="AG137" s="21" t="n">
        <x:v>0</x:v>
      </x:c>
      <x:c r="AH137" s="21" t="n">
        <x:v>0</x:v>
      </x:c>
      <x:c r="AI137" s="21" t="n">
        <x:v>0</x:v>
      </x:c>
      <x:c r="AJ137" s="21" t="n">
        <x:v>0</x:v>
      </x:c>
      <x:c r="AK137" s="21" t="n">
        <x:v>0</x:v>
      </x:c>
      <x:c r="AL137" s="21" t="n">
        <x:v>0</x:v>
      </x:c>
      <x:c r="AM137" s="21" t="n">
        <x:v>1</x:v>
      </x:c>
      <x:c r="AN137" s="21" t="n">
        <x:v>1</x:v>
      </x:c>
      <x:c r="AO137" s="21" t="n">
        <x:v>1</x:v>
      </x:c>
      <x:c r="AP137" s="21" t="n">
        <x:v>1.03</x:v>
      </x:c>
      <x:c r="AQ137" s="21" t="n">
        <x:v>1.03</x:v>
      </x:c>
      <x:c r="AR137" s="21" t="n">
        <x:v>1</x:v>
      </x:c>
      <x:c r="AS137" s="21" t="n">
        <x:v>1</x:v>
      </x:c>
      <x:c r="AT137" s="21" t="n">
        <x:v>1</x:v>
      </x:c>
      <x:c r="AU137" s="21" t="n">
        <x:v>0</x:v>
      </x:c>
      <x:c r="AV137" s="22" t="n">
        <x:f>IF(C137="QB",N137*0.04+O137*4-P137*2+R137*0.1+S137*6,IF(OR(C137="RB",C137="WR",C137="TE"),U137*0.1+V137*6+R137*0.1+S137*6+X137*0.5+Y137*0.1+Z137*6,IF(C137="K",AC137*3+AD137*4+AE137*5+AF137,IF(C137="DST",AG137+AH137*2+AI137*6+AL137,0))))</x:f>
        <x:v>15.714913043478258</x:v>
      </x:c>
      <x:c r="AW137" s="22" t="n">
        <x:f>(AV137+AU137)*G137</x:f>
        <x:v>15.714913043478258</x:v>
      </x:c>
      <x:c r="AX137" s="22" t="n">
        <x:f>MAX(0,AW137*IF(C137="QB",0.68,IF(C137="RB",0.58,IF(C137="WR",0.52,IF(C137="TE",0.50,IF(C137="K",0.55,0.40))))))</x:f>
        <x:v>8.171754782608694</x:v>
      </x:c>
      <x:c r="AY137" s="22" t="n">
        <x:f>AW137*IF(C137="QB",1.32,IF(C137="RB",1.45,IF(C137="WR",1.55,IF(C137="TE",1.60,IF(C137="K",1.45,1.65)))))</x:f>
        <x:v>24.3581152173913</x:v>
      </x:c>
      <x:c r="AZ137" s="12" t="str">
        <x:v>High</x:v>
      </x:c>
      <x:c r="BA137" s="12" t="n">
        <x:v>1</x:v>
      </x:c>
      <x:c r="BB137" s="12" t="n">
        <x:f>COUNTIFS($C$2:$C$344,C137,$AW$2:$AW$344,"&gt;"&amp;AW137,$G$2:$G$344,"&gt;0")+COUNTIFS($C$2:C137,C137,$AW$2:AW137,AW137,$G$2:G137,"&gt;0")</x:f>
        <x:v>3</x:v>
      </x:c>
      <x:c r="BC137" s="12" t="n">
        <x:v>3</x:v>
      </x:c>
      <x:c r="BD137" s="12" t="str">
        <x:f>IF(BB137&lt;BC137,"↑",IF(BB137&gt;BC137,"↓","→"))</x:f>
        <x:v>→</x:v>
      </x:c>
      <x:c r="BE137" s="23" t="str">
        <x:v>Fantasy Football Brief ROS baseline; official NFL schedule</x:v>
      </x:c>
      <x:c r="BF137" s="23" t="str">
        <x:v>Current role and availability baseline; all adjustment factors shown numerically</x:v>
      </x:c>
      <x:c r="BG137" s="23" t="str">
        <x:v>Material injury, depth-chart, or role change</x:v>
      </x:c>
      <x:c r="BH137" s="24" t="str">
        <x:v>2026-09-23 10:35 CT</x:v>
      </x:c>
    </x:row>
    <x:row r="138">
      <x:c r="A138" s="12" t="str">
        <x:v>Justin Jefferson</x:v>
      </x:c>
      <x:c r="B138" s="12" t="str">
        <x:v>MIN</x:v>
      </x:c>
      <x:c r="C138" s="12" t="str">
        <x:v>WR</x:v>
      </x:c>
      <x:c r="D138" s="12" t="str">
        <x:v>TB</x:v>
      </x:c>
      <x:c r="E138" s="12" t="str">
        <x:v>Away</x:v>
      </x:c>
      <x:c r="F138" s="12" t="str">
        <x:v>2026-09-27</x:v>
      </x:c>
      <x:c r="G138" s="19" t="n">
        <x:v>1</x:v>
      </x:c>
      <x:c r="H138" s="20" t="str">
        <x:v>ACTIVE</x:v>
      </x:c>
      <x:c r="I138" s="20" t="n">
        <x:v>52</x:v>
      </x:c>
      <x:c r="J138" s="20" t="str">
        <x:v>Routes</x:v>
      </x:c>
      <x:c r="K138" s="20" t="n">
        <x:v>40.734299516908216</x:v>
      </x:c>
      <x:c r="L138" s="21" t="n">
        <x:v>0</x:v>
      </x:c>
      <x:c r="M138" s="21" t="n">
        <x:v>0</x:v>
      </x:c>
      <x:c r="N138" s="21" t="n">
        <x:v>0</x:v>
      </x:c>
      <x:c r="O138" s="21" t="n">
        <x:v>0</x:v>
      </x:c>
      <x:c r="P138" s="21" t="n">
        <x:v>0</x:v>
      </x:c>
      <x:c r="Q138" s="21" t="n">
        <x:v>0.26280193236714977</x:v>
      </x:c>
      <x:c r="R138" s="21" t="n">
        <x:v>2.6277565217391308</x:v>
      </x:c>
      <x:c r="S138" s="21" t="n">
        <x:v>0</x:v>
      </x:c>
      <x:c r="T138" s="21" t="n">
        <x:v>0</x:v>
      </x:c>
      <x:c r="U138" s="21" t="n">
        <x:v>0</x:v>
      </x:c>
      <x:c r="V138" s="21" t="n">
        <x:v>0</x:v>
      </x:c>
      <x:c r="W138" s="21" t="n">
        <x:v>9.198067632850242</x:v>
      </x:c>
      <x:c r="X138" s="21" t="n">
        <x:v>5.91304347826087</x:v>
      </x:c>
      <x:c r="Y138" s="21" t="n">
        <x:v>76.20493913043478</x:v>
      </x:c>
      <x:c r="Z138" s="21" t="n">
        <x:v>0.4598573913043478</x:v>
      </x:c>
      <x:c r="AA138" s="21" t="n">
        <x:v>40.734299516908216</x:v>
      </x:c>
      <x:c r="AB138" s="21" t="n">
        <x:v>0.78</x:v>
      </x:c>
      <x:c r="AC138" s="21" t="n">
        <x:v>0</x:v>
      </x:c>
      <x:c r="AD138" s="21" t="n">
        <x:v>0</x:v>
      </x:c>
      <x:c r="AE138" s="21" t="n">
        <x:v>0</x:v>
      </x:c>
      <x:c r="AF138" s="21" t="n">
        <x:v>0</x:v>
      </x:c>
      <x:c r="AG138" s="21" t="n">
        <x:v>0</x:v>
      </x:c>
      <x:c r="AH138" s="21" t="n">
        <x:v>0</x:v>
      </x:c>
      <x:c r="AI138" s="21" t="n">
        <x:v>0</x:v>
      </x:c>
      <x:c r="AJ138" s="21" t="n">
        <x:v>0</x:v>
      </x:c>
      <x:c r="AK138" s="21" t="n">
        <x:v>0</x:v>
      </x:c>
      <x:c r="AL138" s="21" t="n">
        <x:v>0</x:v>
      </x:c>
      <x:c r="AM138" s="21" t="n">
        <x:v>1</x:v>
      </x:c>
      <x:c r="AN138" s="21" t="n">
        <x:v>1</x:v>
      </x:c>
      <x:c r="AO138" s="21" t="n">
        <x:v>1</x:v>
      </x:c>
      <x:c r="AP138" s="21" t="n">
        <x:v>0.99</x:v>
      </x:c>
      <x:c r="AQ138" s="21" t="n">
        <x:v>1.01</x:v>
      </x:c>
      <x:c r="AR138" s="21" t="n">
        <x:v>1</x:v>
      </x:c>
      <x:c r="AS138" s="21" t="n">
        <x:v>1</x:v>
      </x:c>
      <x:c r="AT138" s="21" t="n">
        <x:v>1</x:v>
      </x:c>
      <x:c r="AU138" s="21" t="n">
        <x:v>0</x:v>
      </x:c>
      <x:c r="AV138" s="22" t="n">
        <x:f>IF(C138="QB",N138*0.04+O138*4-P138*2+R138*0.1+S138*6,IF(OR(C138="RB",C138="WR",C138="TE"),U138*0.1+V138*6+R138*0.1+S138*6+X138*0.5+Y138*0.1+Z138*6,IF(C138="K",AC138*3+AD138*4+AE138*5+AF138,IF(C138="DST",AG138+AH138*2+AI138*6+AL138,0))))</x:f>
        <x:v>13.598935652173914</x:v>
      </x:c>
      <x:c r="AW138" s="22" t="n">
        <x:f>(AV138+AU138)*G138</x:f>
        <x:v>13.598935652173914</x:v>
      </x:c>
      <x:c r="AX138" s="22" t="n">
        <x:f>MAX(0,AW138*IF(C138="QB",0.68,IF(C138="RB",0.58,IF(C138="WR",0.52,IF(C138="TE",0.50,IF(C138="K",0.55,0.40))))))</x:f>
        <x:v>7.071446539130435</x:v>
      </x:c>
      <x:c r="AY138" s="22" t="n">
        <x:f>AW138*IF(C138="QB",1.32,IF(C138="RB",1.45,IF(C138="WR",1.55,IF(C138="TE",1.60,IF(C138="K",1.45,1.65)))))</x:f>
        <x:v>21.078350260869566</x:v>
      </x:c>
      <x:c r="AZ138" s="12" t="str">
        <x:v>High</x:v>
      </x:c>
      <x:c r="BA138" s="12" t="n">
        <x:v>1</x:v>
      </x:c>
      <x:c r="BB138" s="12" t="n">
        <x:f>COUNTIFS($C$2:$C$344,C138,$AW$2:$AW$344,"&gt;"&amp;AW138,$G$2:$G$344,"&gt;0")+COUNTIFS($C$2:C138,C138,$AW$2:AW138,AW138,$G$2:G138,"&gt;0")</x:f>
        <x:v>4</x:v>
      </x:c>
      <x:c r="BC138" s="12" t="n">
        <x:v>4</x:v>
      </x:c>
      <x:c r="BD138" s="12" t="str">
        <x:f>IF(BB138&lt;BC138,"↑",IF(BB138&gt;BC138,"↓","→"))</x:f>
        <x:v>→</x:v>
      </x:c>
      <x:c r="BE138" s="23" t="str">
        <x:v>Fantasy Football Brief ROS baseline; official NFL schedule</x:v>
      </x:c>
      <x:c r="BF138" s="23" t="str">
        <x:v>Current role and availability baseline; all adjustment factors shown numerically</x:v>
      </x:c>
      <x:c r="BG138" s="23" t="str">
        <x:v>Material injury, depth-chart, or role change</x:v>
      </x:c>
      <x:c r="BH138" s="24" t="str">
        <x:v>2026-09-23 10:35 CT</x:v>
      </x:c>
    </x:row>
    <x:row r="139">
      <x:c r="A139" s="12" t="str">
        <x:v>CeeDee Lamb</x:v>
      </x:c>
      <x:c r="B139" s="12" t="str">
        <x:v>DAL</x:v>
      </x:c>
      <x:c r="C139" s="12" t="str">
        <x:v>WR</x:v>
      </x:c>
      <x:c r="D139" s="12" t="str">
        <x:v>BAL</x:v>
      </x:c>
      <x:c r="E139" s="12" t="str">
        <x:v>Home</x:v>
      </x:c>
      <x:c r="F139" s="12" t="str">
        <x:v>2026-09-27</x:v>
      </x:c>
      <x:c r="G139" s="19" t="n">
        <x:v>1</x:v>
      </x:c>
      <x:c r="H139" s="20" t="str">
        <x:v>ACTIVE</x:v>
      </x:c>
      <x:c r="I139" s="20" t="n">
        <x:v>52</x:v>
      </x:c>
      <x:c r="J139" s="20" t="str">
        <x:v>Routes</x:v>
      </x:c>
      <x:c r="K139" s="20" t="n">
        <x:v>39.53623188405797</x:v>
      </x:c>
      <x:c r="L139" s="21" t="n">
        <x:v>0</x:v>
      </x:c>
      <x:c r="M139" s="21" t="n">
        <x:v>0</x:v>
      </x:c>
      <x:c r="N139" s="21" t="n">
        <x:v>0</x:v>
      </x:c>
      <x:c r="O139" s="21" t="n">
        <x:v>0</x:v>
      </x:c>
      <x:c r="P139" s="21" t="n">
        <x:v>0</x:v>
      </x:c>
      <x:c r="Q139" s="21" t="n">
        <x:v>0.25507246376811593</x:v>
      </x:c>
      <x:c r="R139" s="21" t="n">
        <x:v>2.3976811594202894</x:v>
      </x:c>
      <x:c r="S139" s="21" t="n">
        <x:v>0</x:v>
      </x:c>
      <x:c r="T139" s="21" t="n">
        <x:v>0</x:v>
      </x:c>
      <x:c r="U139" s="21" t="n">
        <x:v>0</x:v>
      </x:c>
      <x:c r="V139" s="21" t="n">
        <x:v>0</x:v>
      </x:c>
      <x:c r="W139" s="21" t="n">
        <x:v>8.927536231884057</x:v>
      </x:c>
      <x:c r="X139" s="21" t="n">
        <x:v>5.739130434782608</x:v>
      </x:c>
      <x:c r="Y139" s="21" t="n">
        <x:v>69.53275362318838</x:v>
      </x:c>
      <x:c r="Z139" s="21" t="n">
        <x:v>0.41959420289855065</x:v>
      </x:c>
      <x:c r="AA139" s="21" t="n">
        <x:v>39.53623188405797</x:v>
      </x:c>
      <x:c r="AB139" s="21" t="n">
        <x:v>0.78</x:v>
      </x:c>
      <x:c r="AC139" s="21" t="n">
        <x:v>0</x:v>
      </x:c>
      <x:c r="AD139" s="21" t="n">
        <x:v>0</x:v>
      </x:c>
      <x:c r="AE139" s="21" t="n">
        <x:v>0</x:v>
      </x:c>
      <x:c r="AF139" s="21" t="n">
        <x:v>0</x:v>
      </x:c>
      <x:c r="AG139" s="21" t="n">
        <x:v>0</x:v>
      </x:c>
      <x:c r="AH139" s="21" t="n">
        <x:v>0</x:v>
      </x:c>
      <x:c r="AI139" s="21" t="n">
        <x:v>0</x:v>
      </x:c>
      <x:c r="AJ139" s="21" t="n">
        <x:v>0</x:v>
      </x:c>
      <x:c r="AK139" s="21" t="n">
        <x:v>0</x:v>
      </x:c>
      <x:c r="AL139" s="21" t="n">
        <x:v>0</x:v>
      </x:c>
      <x:c r="AM139" s="21" t="n">
        <x:v>1</x:v>
      </x:c>
      <x:c r="AN139" s="21" t="n">
        <x:v>1</x:v>
      </x:c>
      <x:c r="AO139" s="21" t="n">
        <x:v>1</x:v>
      </x:c>
      <x:c r="AP139" s="21" t="n">
        <x:v>1</x:v>
      </x:c>
      <x:c r="AQ139" s="21" t="n">
        <x:v>0.94</x:v>
      </x:c>
      <x:c r="AR139" s="21" t="n">
        <x:v>1</x:v>
      </x:c>
      <x:c r="AS139" s="21" t="n">
        <x:v>1</x:v>
      </x:c>
      <x:c r="AT139" s="21" t="n">
        <x:v>1</x:v>
      </x:c>
      <x:c r="AU139" s="21" t="n">
        <x:v>0</x:v>
      </x:c>
      <x:c r="AV139" s="22" t="n">
        <x:f>IF(C139="QB",N139*0.04+O139*4-P139*2+R139*0.1+S139*6,IF(OR(C139="RB",C139="WR",C139="TE"),U139*0.1+V139*6+R139*0.1+S139*6+X139*0.5+Y139*0.1+Z139*6,IF(C139="K",AC139*3+AD139*4+AE139*5+AF139,IF(C139="DST",AG139+AH139*2+AI139*6+AL139,0))))</x:f>
        <x:v>12.580173913043476</x:v>
      </x:c>
      <x:c r="AW139" s="22" t="n">
        <x:f>(AV139+AU139)*G139</x:f>
        <x:v>12.580173913043476</x:v>
      </x:c>
      <x:c r="AX139" s="22" t="n">
        <x:f>MAX(0,AW139*IF(C139="QB",0.68,IF(C139="RB",0.58,IF(C139="WR",0.52,IF(C139="TE",0.50,IF(C139="K",0.55,0.40))))))</x:f>
        <x:v>6.541690434782607</x:v>
      </x:c>
      <x:c r="AY139" s="22" t="n">
        <x:f>AW139*IF(C139="QB",1.32,IF(C139="RB",1.45,IF(C139="WR",1.55,IF(C139="TE",1.60,IF(C139="K",1.45,1.65)))))</x:f>
        <x:v>19.49926956521739</x:v>
      </x:c>
      <x:c r="AZ139" s="12" t="str">
        <x:v>High</x:v>
      </x:c>
      <x:c r="BA139" s="12" t="n">
        <x:v>1</x:v>
      </x:c>
      <x:c r="BB139" s="12" t="n">
        <x:f>COUNTIFS($C$2:$C$344,C139,$AW$2:$AW$344,"&gt;"&amp;AW139,$G$2:$G$344,"&gt;0")+COUNTIFS($C$2:C139,C139,$AW$2:AW139,AW139,$G$2:G139,"&gt;0")</x:f>
        <x:v>6</x:v>
      </x:c>
      <x:c r="BC139" s="12" t="n">
        <x:v>5</x:v>
      </x:c>
      <x:c r="BD139" s="12" t="str">
        <x:f>IF(BB139&lt;BC139,"↑",IF(BB139&gt;BC139,"↓","→"))</x:f>
        <x:v>↓</x:v>
      </x:c>
      <x:c r="BE139" s="23" t="str">
        <x:v>Fantasy Football Brief ROS baseline; official NFL schedule</x:v>
      </x:c>
      <x:c r="BF139" s="23" t="str">
        <x:v>Current role and availability baseline; all adjustment factors shown numerically</x:v>
      </x:c>
      <x:c r="BG139" s="23" t="str">
        <x:v>Material injury, depth-chart, or role change</x:v>
      </x:c>
      <x:c r="BH139" s="24" t="str">
        <x:v>2026-09-23 10:35 CT</x:v>
      </x:c>
    </x:row>
    <x:row r="140">
      <x:c r="A140" s="12" t="str">
        <x:v>Rashee Rice</x:v>
      </x:c>
      <x:c r="B140" s="12" t="str">
        <x:v>KC</x:v>
      </x:c>
      <x:c r="C140" s="12" t="str">
        <x:v>WR</x:v>
      </x:c>
      <x:c r="D140" s="12" t="str">
        <x:v>MIA</x:v>
      </x:c>
      <x:c r="E140" s="12" t="str">
        <x:v>Away</x:v>
      </x:c>
      <x:c r="F140" s="12" t="str">
        <x:v>2026-09-27</x:v>
      </x:c>
      <x:c r="G140" s="19" t="n">
        <x:v>1</x:v>
      </x:c>
      <x:c r="H140" s="20" t="str">
        <x:v>ACTIVE</x:v>
      </x:c>
      <x:c r="I140" s="20" t="n">
        <x:v>52</x:v>
      </x:c>
      <x:c r="J140" s="20" t="str">
        <x:v>Routes</x:v>
      </x:c>
      <x:c r="K140" s="20" t="n">
        <x:v>35.04347826086956</x:v>
      </x:c>
      <x:c r="L140" s="21" t="n">
        <x:v>0</x:v>
      </x:c>
      <x:c r="M140" s="21" t="n">
        <x:v>0</x:v>
      </x:c>
      <x:c r="N140" s="21" t="n">
        <x:v>0</x:v>
      </x:c>
      <x:c r="O140" s="21" t="n">
        <x:v>0</x:v>
      </x:c>
      <x:c r="P140" s="21" t="n">
        <x:v>0</x:v>
      </x:c>
      <x:c r="Q140" s="21" t="n">
        <x:v>0.22608695652173913</x:v>
      </x:c>
      <x:c r="R140" s="21" t="n">
        <x:v>2.3985565217391303</x:v>
      </x:c>
      <x:c r="S140" s="21" t="n">
        <x:v>0</x:v>
      </x:c>
      <x:c r="T140" s="21" t="n">
        <x:v>0</x:v>
      </x:c>
      <x:c r="U140" s="21" t="n">
        <x:v>0</x:v>
      </x:c>
      <x:c r="V140" s="21" t="n">
        <x:v>0</x:v>
      </x:c>
      <x:c r="W140" s="21" t="n">
        <x:v>7.913043478260869</x:v>
      </x:c>
      <x:c r="X140" s="21" t="n">
        <x:v>5.08695652173913</x:v>
      </x:c>
      <x:c r="Y140" s="21" t="n">
        <x:v>69.55813913043478</x:v>
      </x:c>
      <x:c r="Z140" s="21" t="n">
        <x:v>0.41974739130434774</x:v>
      </x:c>
      <x:c r="AA140" s="21" t="n">
        <x:v>35.04347826086956</x:v>
      </x:c>
      <x:c r="AB140" s="21" t="n">
        <x:v>0.78</x:v>
      </x:c>
      <x:c r="AC140" s="21" t="n">
        <x:v>0</x:v>
      </x:c>
      <x:c r="AD140" s="21" t="n">
        <x:v>0</x:v>
      </x:c>
      <x:c r="AE140" s="21" t="n">
        <x:v>0</x:v>
      </x:c>
      <x:c r="AF140" s="21" t="n">
        <x:v>0</x:v>
      </x:c>
      <x:c r="AG140" s="21" t="n">
        <x:v>0</x:v>
      </x:c>
      <x:c r="AH140" s="21" t="n">
        <x:v>0</x:v>
      </x:c>
      <x:c r="AI140" s="21" t="n">
        <x:v>0</x:v>
      </x:c>
      <x:c r="AJ140" s="21" t="n">
        <x:v>0</x:v>
      </x:c>
      <x:c r="AK140" s="21" t="n">
        <x:v>0</x:v>
      </x:c>
      <x:c r="AL140" s="21" t="n">
        <x:v>0</x:v>
      </x:c>
      <x:c r="AM140" s="21" t="n">
        <x:v>1</x:v>
      </x:c>
      <x:c r="AN140" s="21" t="n">
        <x:v>1</x:v>
      </x:c>
      <x:c r="AO140" s="21" t="n">
        <x:v>1</x:v>
      </x:c>
      <x:c r="AP140" s="21" t="n">
        <x:v>1.03</x:v>
      </x:c>
      <x:c r="AQ140" s="21" t="n">
        <x:v>1.03</x:v>
      </x:c>
      <x:c r="AR140" s="21" t="n">
        <x:v>1</x:v>
      </x:c>
      <x:c r="AS140" s="21" t="n">
        <x:v>1</x:v>
      </x:c>
      <x:c r="AT140" s="21" t="n">
        <x:v>1</x:v>
      </x:c>
      <x:c r="AU140" s="21" t="n">
        <x:v>0</x:v>
      </x:c>
      <x:c r="AV140" s="22" t="n">
        <x:f>IF(C140="QB",N140*0.04+O140*4-P140*2+R140*0.1+S140*6,IF(OR(C140="RB",C140="WR",C140="TE"),U140*0.1+V140*6+R140*0.1+S140*6+X140*0.5+Y140*0.1+Z140*6,IF(C140="K",AC140*3+AD140*4+AE140*5+AF140,IF(C140="DST",AG140+AH140*2+AI140*6+AL140,0))))</x:f>
        <x:v>12.257632173913043</x:v>
      </x:c>
      <x:c r="AW140" s="22" t="n">
        <x:f>(AV140+AU140)*G140</x:f>
        <x:v>12.257632173913043</x:v>
      </x:c>
      <x:c r="AX140" s="22" t="n">
        <x:f>MAX(0,AW140*IF(C140="QB",0.68,IF(C140="RB",0.58,IF(C140="WR",0.52,IF(C140="TE",0.50,IF(C140="K",0.55,0.40))))))</x:f>
        <x:v>6.3739687304347825</x:v>
      </x:c>
      <x:c r="AY140" s="22" t="n">
        <x:f>AW140*IF(C140="QB",1.32,IF(C140="RB",1.45,IF(C140="WR",1.55,IF(C140="TE",1.60,IF(C140="K",1.45,1.65)))))</x:f>
        <x:v>18.999329869565216</x:v>
      </x:c>
      <x:c r="AZ140" s="12" t="str">
        <x:v>High</x:v>
      </x:c>
      <x:c r="BA140" s="12" t="n">
        <x:v>1</x:v>
      </x:c>
      <x:c r="BB140" s="12" t="n">
        <x:f>COUNTIFS($C$2:$C$344,C140,$AW$2:$AW$344,"&gt;"&amp;AW140,$G$2:$G$344,"&gt;0")+COUNTIFS($C$2:C140,C140,$AW$2:AW140,AW140,$G$2:G140,"&gt;0")</x:f>
        <x:v>7</x:v>
      </x:c>
      <x:c r="BC140" s="12" t="n">
        <x:v>6</x:v>
      </x:c>
      <x:c r="BD140" s="12" t="str">
        <x:f>IF(BB140&lt;BC140,"↑",IF(BB140&gt;BC140,"↓","→"))</x:f>
        <x:v>↓</x:v>
      </x:c>
      <x:c r="BE140" s="23" t="str">
        <x:v>Fantasy Football Brief ROS baseline; official NFL schedule</x:v>
      </x:c>
      <x:c r="BF140" s="23" t="str">
        <x:v>Current role and availability baseline; all adjustment factors shown numerically</x:v>
      </x:c>
      <x:c r="BG140" s="23" t="str">
        <x:v>Material injury, depth-chart, or role change</x:v>
      </x:c>
      <x:c r="BH140" s="24" t="str">
        <x:v>2026-09-23 10:35 CT</x:v>
      </x:c>
    </x:row>
    <x:row r="141">
      <x:c r="A141" s="12" t="str">
        <x:v>Drake London</x:v>
      </x:c>
      <x:c r="B141" s="12" t="str">
        <x:v>ATL</x:v>
      </x:c>
      <x:c r="C141" s="12" t="str">
        <x:v>WR</x:v>
      </x:c>
      <x:c r="D141" s="12" t="str">
        <x:v>GB</x:v>
      </x:c>
      <x:c r="E141" s="12" t="str">
        <x:v>Away</x:v>
      </x:c>
      <x:c r="F141" s="12" t="str">
        <x:v>2026-09-24</x:v>
      </x:c>
      <x:c r="G141" s="19" t="n">
        <x:v>1</x:v>
      </x:c>
      <x:c r="H141" s="20" t="str">
        <x:v>ACTIVE</x:v>
      </x:c>
      <x:c r="I141" s="20" t="n">
        <x:v>52</x:v>
      </x:c>
      <x:c r="J141" s="20" t="str">
        <x:v>Routes</x:v>
      </x:c>
      <x:c r="K141" s="20" t="n">
        <x:v>38.338164251207736</x:v>
      </x:c>
      <x:c r="L141" s="21" t="n">
        <x:v>0</x:v>
      </x:c>
      <x:c r="M141" s="21" t="n">
        <x:v>0</x:v>
      </x:c>
      <x:c r="N141" s="21" t="n">
        <x:v>0</x:v>
      </x:c>
      <x:c r="O141" s="21" t="n">
        <x:v>0</x:v>
      </x:c>
      <x:c r="P141" s="21" t="n">
        <x:v>0</x:v>
      </x:c>
      <x:c r="Q141" s="21" t="n">
        <x:v>0.24734299516908217</x:v>
      </x:c>
      <x:c r="R141" s="21" t="n">
        <x:v>2.3032579710144927</x:v>
      </x:c>
      <x:c r="S141" s="21" t="n">
        <x:v>0</x:v>
      </x:c>
      <x:c r="T141" s="21" t="n">
        <x:v>0</x:v>
      </x:c>
      <x:c r="U141" s="21" t="n">
        <x:v>0</x:v>
      </x:c>
      <x:c r="V141" s="21" t="n">
        <x:v>0</x:v>
      </x:c>
      <x:c r="W141" s="21" t="n">
        <x:v>8.657004830917876</x:v>
      </x:c>
      <x:c r="X141" s="21" t="n">
        <x:v>5.565217391304349</x:v>
      </x:c>
      <x:c r="Y141" s="21" t="n">
        <x:v>66.79448115942029</x:v>
      </x:c>
      <x:c r="Z141" s="21" t="n">
        <x:v>0.40307014492753623</x:v>
      </x:c>
      <x:c r="AA141" s="21" t="n">
        <x:v>38.338164251207736</x:v>
      </x:c>
      <x:c r="AB141" s="21" t="n">
        <x:v>0.78</x:v>
      </x:c>
      <x:c r="AC141" s="21" t="n">
        <x:v>0</x:v>
      </x:c>
      <x:c r="AD141" s="21" t="n">
        <x:v>0</x:v>
      </x:c>
      <x:c r="AE141" s="21" t="n">
        <x:v>0</x:v>
      </x:c>
      <x:c r="AF141" s="21" t="n">
        <x:v>0</x:v>
      </x:c>
      <x:c r="AG141" s="21" t="n">
        <x:v>0</x:v>
      </x:c>
      <x:c r="AH141" s="21" t="n">
        <x:v>0</x:v>
      </x:c>
      <x:c r="AI141" s="21" t="n">
        <x:v>0</x:v>
      </x:c>
      <x:c r="AJ141" s="21" t="n">
        <x:v>0</x:v>
      </x:c>
      <x:c r="AK141" s="21" t="n">
        <x:v>0</x:v>
      </x:c>
      <x:c r="AL141" s="21" t="n">
        <x:v>0</x:v>
      </x:c>
      <x:c r="AM141" s="21" t="n">
        <x:v>1</x:v>
      </x:c>
      <x:c r="AN141" s="21" t="n">
        <x:v>1</x:v>
      </x:c>
      <x:c r="AO141" s="21" t="n">
        <x:v>1</x:v>
      </x:c>
      <x:c r="AP141" s="21" t="n">
        <x:v>0.97</x:v>
      </x:c>
      <x:c r="AQ141" s="21" t="n">
        <x:v>0.96</x:v>
      </x:c>
      <x:c r="AR141" s="21" t="n">
        <x:v>1</x:v>
      </x:c>
      <x:c r="AS141" s="21" t="n">
        <x:v>1</x:v>
      </x:c>
      <x:c r="AT141" s="21" t="n">
        <x:v>1</x:v>
      </x:c>
      <x:c r="AU141" s="21" t="n">
        <x:v>0</x:v>
      </x:c>
      <x:c r="AV141" s="22" t="n">
        <x:f>IF(C141="QB",N141*0.04+O141*4-P141*2+R141*0.1+S141*6,IF(OR(C141="RB",C141="WR",C141="TE"),U141*0.1+V141*6+R141*0.1+S141*6+X141*0.5+Y141*0.1+Z141*6,IF(C141="K",AC141*3+AD141*4+AE141*5+AF141,IF(C141="DST",AG141+AH141*2+AI141*6+AL141,0))))</x:f>
        <x:v>12.11080347826087</x:v>
      </x:c>
      <x:c r="AW141" s="22" t="n">
        <x:f>(AV141+AU141)*G141</x:f>
        <x:v>12.11080347826087</x:v>
      </x:c>
      <x:c r="AX141" s="22" t="n">
        <x:f>MAX(0,AW141*IF(C141="QB",0.68,IF(C141="RB",0.58,IF(C141="WR",0.52,IF(C141="TE",0.50,IF(C141="K",0.55,0.40))))))</x:f>
        <x:v>6.2976178086956525</x:v>
      </x:c>
      <x:c r="AY141" s="22" t="n">
        <x:f>AW141*IF(C141="QB",1.32,IF(C141="RB",1.45,IF(C141="WR",1.55,IF(C141="TE",1.60,IF(C141="K",1.45,1.65)))))</x:f>
        <x:v>18.77174539130435</x:v>
      </x:c>
      <x:c r="AZ141" s="12" t="str">
        <x:v>High</x:v>
      </x:c>
      <x:c r="BA141" s="12" t="n">
        <x:v>1</x:v>
      </x:c>
      <x:c r="BB141" s="12" t="n">
        <x:f>COUNTIFS($C$2:$C$344,C141,$AW$2:$AW$344,"&gt;"&amp;AW141,$G$2:$G$344,"&gt;0")+COUNTIFS($C$2:C141,C141,$AW$2:AW141,AW141,$G$2:G141,"&gt;0")</x:f>
        <x:v>8</x:v>
      </x:c>
      <x:c r="BC141" s="12" t="n">
        <x:v>8</x:v>
      </x:c>
      <x:c r="BD141" s="12" t="str">
        <x:f>IF(BB141&lt;BC141,"↑",IF(BB141&gt;BC141,"↓","→"))</x:f>
        <x:v>→</x:v>
      </x:c>
      <x:c r="BE141" s="23" t="str">
        <x:v>Fantasy Football Brief ROS baseline; official NFL schedule</x:v>
      </x:c>
      <x:c r="BF141" s="23" t="str">
        <x:v>Current role and availability baseline; all adjustment factors shown numerically</x:v>
      </x:c>
      <x:c r="BG141" s="23" t="str">
        <x:v>Material injury, depth-chart, or role change</x:v>
      </x:c>
      <x:c r="BH141" s="24" t="str">
        <x:v>2026-09-23 10:35 CT</x:v>
      </x:c>
    </x:row>
    <x:row r="142">
      <x:c r="A142" s="12" t="str">
        <x:v>George Pickens</x:v>
      </x:c>
      <x:c r="B142" s="12" t="str">
        <x:v>DAL</x:v>
      </x:c>
      <x:c r="C142" s="12" t="str">
        <x:v>WR</x:v>
      </x:c>
      <x:c r="D142" s="12" t="str">
        <x:v>BAL</x:v>
      </x:c>
      <x:c r="E142" s="12" t="str">
        <x:v>Home</x:v>
      </x:c>
      <x:c r="F142" s="12" t="str">
        <x:v>2026-09-27</x:v>
      </x:c>
      <x:c r="G142" s="19" t="n">
        <x:v>1</x:v>
      </x:c>
      <x:c r="H142" s="20" t="str">
        <x:v>ACTIVE</x:v>
      </x:c>
      <x:c r="I142" s="20" t="n">
        <x:v>52</x:v>
      </x:c>
      <x:c r="J142" s="20" t="str">
        <x:v>Routes</x:v>
      </x:c>
      <x:c r="K142" s="20" t="n">
        <x:v>37.14009661835749</x:v>
      </x:c>
      <x:c r="L142" s="21" t="n">
        <x:v>0</x:v>
      </x:c>
      <x:c r="M142" s="21" t="n">
        <x:v>0</x:v>
      </x:c>
      <x:c r="N142" s="21" t="n">
        <x:v>0</x:v>
      </x:c>
      <x:c r="O142" s="21" t="n">
        <x:v>0</x:v>
      </x:c>
      <x:c r="P142" s="21" t="n">
        <x:v>0</x:v>
      </x:c>
      <x:c r="Q142" s="21" t="n">
        <x:v>0.2396135265700483</x:v>
      </x:c>
      <x:c r="R142" s="21" t="n">
        <x:v>2.252367149758454</x:v>
      </x:c>
      <x:c r="S142" s="21" t="n">
        <x:v>0</x:v>
      </x:c>
      <x:c r="T142" s="21" t="n">
        <x:v>0</x:v>
      </x:c>
      <x:c r="U142" s="21" t="n">
        <x:v>0</x:v>
      </x:c>
      <x:c r="V142" s="21" t="n">
        <x:v>0</x:v>
      </x:c>
      <x:c r="W142" s="21" t="n">
        <x:v>8.38647342995169</x:v>
      </x:c>
      <x:c r="X142" s="21" t="n">
        <x:v>5.391304347826087</x:v>
      </x:c>
      <x:c r="Y142" s="21" t="n">
        <x:v>65.31864734299516</x:v>
      </x:c>
      <x:c r="Z142" s="21" t="n">
        <x:v>0.39416425120772947</x:v>
      </x:c>
      <x:c r="AA142" s="21" t="n">
        <x:v>37.14009661835749</x:v>
      </x:c>
      <x:c r="AB142" s="21" t="n">
        <x:v>0.78</x:v>
      </x:c>
      <x:c r="AC142" s="21" t="n">
        <x:v>0</x:v>
      </x:c>
      <x:c r="AD142" s="21" t="n">
        <x:v>0</x:v>
      </x:c>
      <x:c r="AE142" s="21" t="n">
        <x:v>0</x:v>
      </x:c>
      <x:c r="AF142" s="21" t="n">
        <x:v>0</x:v>
      </x:c>
      <x:c r="AG142" s="21" t="n">
        <x:v>0</x:v>
      </x:c>
      <x:c r="AH142" s="21" t="n">
        <x:v>0</x:v>
      </x:c>
      <x:c r="AI142" s="21" t="n">
        <x:v>0</x:v>
      </x:c>
      <x:c r="AJ142" s="21" t="n">
        <x:v>0</x:v>
      </x:c>
      <x:c r="AK142" s="21" t="n">
        <x:v>0</x:v>
      </x:c>
      <x:c r="AL142" s="21" t="n">
        <x:v>0</x:v>
      </x:c>
      <x:c r="AM142" s="21" t="n">
        <x:v>1</x:v>
      </x:c>
      <x:c r="AN142" s="21" t="n">
        <x:v>1</x:v>
      </x:c>
      <x:c r="AO142" s="21" t="n">
        <x:v>1</x:v>
      </x:c>
      <x:c r="AP142" s="21" t="n">
        <x:v>1</x:v>
      </x:c>
      <x:c r="AQ142" s="21" t="n">
        <x:v>0.94</x:v>
      </x:c>
      <x:c r="AR142" s="21" t="n">
        <x:v>1</x:v>
      </x:c>
      <x:c r="AS142" s="21" t="n">
        <x:v>1</x:v>
      </x:c>
      <x:c r="AT142" s="21" t="n">
        <x:v>1</x:v>
      </x:c>
      <x:c r="AU142" s="21" t="n">
        <x:v>0</x:v>
      </x:c>
      <x:c r="AV142" s="22" t="n">
        <x:f>IF(C142="QB",N142*0.04+O142*4-P142*2+R142*0.1+S142*6,IF(OR(C142="RB",C142="WR",C142="TE"),U142*0.1+V142*6+R142*0.1+S142*6+X142*0.5+Y142*0.1+Z142*6,IF(C142="K",AC142*3+AD142*4+AE142*5+AF142,IF(C142="DST",AG142+AH142*2+AI142*6+AL142,0))))</x:f>
        <x:v>11.817739130434783</x:v>
      </x:c>
      <x:c r="AW142" s="22" t="n">
        <x:f>(AV142+AU142)*G142</x:f>
        <x:v>11.817739130434783</x:v>
      </x:c>
      <x:c r="AX142" s="22" t="n">
        <x:f>MAX(0,AW142*IF(C142="QB",0.68,IF(C142="RB",0.58,IF(C142="WR",0.52,IF(C142="TE",0.50,IF(C142="K",0.55,0.40))))))</x:f>
        <x:v>6.145224347826087</x:v>
      </x:c>
      <x:c r="AY142" s="22" t="n">
        <x:f>AW142*IF(C142="QB",1.32,IF(C142="RB",1.45,IF(C142="WR",1.55,IF(C142="TE",1.60,IF(C142="K",1.45,1.65)))))</x:f>
        <x:v>18.317495652173914</x:v>
      </x:c>
      <x:c r="AZ142" s="12" t="str">
        <x:v>High</x:v>
      </x:c>
      <x:c r="BA142" s="12" t="n">
        <x:v>1</x:v>
      </x:c>
      <x:c r="BB142" s="12" t="n">
        <x:f>COUNTIFS($C$2:$C$344,C142,$AW$2:$AW$344,"&gt;"&amp;AW142,$G$2:$G$344,"&gt;0")+COUNTIFS($C$2:C142,C142,$AW$2:AW142,AW142,$G$2:G142,"&gt;0")</x:f>
        <x:v>10</x:v>
      </x:c>
      <x:c r="BC142" s="12" t="n">
        <x:v>9</x:v>
      </x:c>
      <x:c r="BD142" s="12" t="str">
        <x:f>IF(BB142&lt;BC142,"↑",IF(BB142&gt;BC142,"↓","→"))</x:f>
        <x:v>↓</x:v>
      </x:c>
      <x:c r="BE142" s="23" t="str">
        <x:v>Fantasy Football Brief ROS baseline; official NFL schedule</x:v>
      </x:c>
      <x:c r="BF142" s="23" t="str">
        <x:v>Current role and availability baseline; all adjustment factors shown numerically</x:v>
      </x:c>
      <x:c r="BG142" s="23" t="str">
        <x:v>Material injury, depth-chart, or role change</x:v>
      </x:c>
      <x:c r="BH142" s="24" t="str">
        <x:v>2026-09-23 10:35 CT</x:v>
      </x:c>
    </x:row>
    <x:row r="143">
      <x:c r="A143" s="12" t="str">
        <x:v>Chris Olave</x:v>
      </x:c>
      <x:c r="B143" s="12" t="str">
        <x:v>NO</x:v>
      </x:c>
      <x:c r="C143" s="12" t="str">
        <x:v>WR</x:v>
      </x:c>
      <x:c r="D143" s="12" t="str">
        <x:v>LV</x:v>
      </x:c>
      <x:c r="E143" s="12" t="str">
        <x:v>Home</x:v>
      </x:c>
      <x:c r="F143" s="12" t="str">
        <x:v>2026-09-27</x:v>
      </x:c>
      <x:c r="G143" s="19" t="n">
        <x:v>0.9666666666666667</x:v>
      </x:c>
      <x:c r="H143" s="20" t="str">
        <x:v>ACTIVE</x:v>
      </x:c>
      <x:c r="I143" s="20" t="n">
        <x:v>50.266666666666666</x:v>
      </x:c>
      <x:c r="J143" s="20" t="str">
        <x:v>Routes</x:v>
      </x:c>
      <x:c r="K143" s="20" t="n">
        <x:v>36.84057971014493</x:v>
      </x:c>
      <x:c r="L143" s="21" t="n">
        <x:v>0</x:v>
      </x:c>
      <x:c r="M143" s="21" t="n">
        <x:v>0</x:v>
      </x:c>
      <x:c r="N143" s="21" t="n">
        <x:v>0</x:v>
      </x:c>
      <x:c r="O143" s="21" t="n">
        <x:v>0</x:v>
      </x:c>
      <x:c r="P143" s="21" t="n">
        <x:v>0</x:v>
      </x:c>
      <x:c r="Q143" s="21" t="n">
        <x:v>0.2376811594202899</x:v>
      </x:c>
      <x:c r="R143" s="21" t="n">
        <x:v>2.35304347826087</x:v>
      </x:c>
      <x:c r="S143" s="21" t="n">
        <x:v>0</x:v>
      </x:c>
      <x:c r="T143" s="21" t="n">
        <x:v>0</x:v>
      </x:c>
      <x:c r="U143" s="21" t="n">
        <x:v>0</x:v>
      </x:c>
      <x:c r="V143" s="21" t="n">
        <x:v>0</x:v>
      </x:c>
      <x:c r="W143" s="21" t="n">
        <x:v>8.318840579710146</x:v>
      </x:c>
      <x:c r="X143" s="21" t="n">
        <x:v>5.347826086956522</x:v>
      </x:c>
      <x:c r="Y143" s="21" t="n">
        <x:v>68.23826086956522</x:v>
      </x:c>
      <x:c r="Z143" s="21" t="n">
        <x:v>0.41178260869565225</x:v>
      </x:c>
      <x:c r="AA143" s="21" t="n">
        <x:v>36.84057971014493</x:v>
      </x:c>
      <x:c r="AB143" s="21" t="n">
        <x:v>0.78</x:v>
      </x:c>
      <x:c r="AC143" s="21" t="n">
        <x:v>0</x:v>
      </x:c>
      <x:c r="AD143" s="21" t="n">
        <x:v>0</x:v>
      </x:c>
      <x:c r="AE143" s="21" t="n">
        <x:v>0</x:v>
      </x:c>
      <x:c r="AF143" s="21" t="n">
        <x:v>0</x:v>
      </x:c>
      <x:c r="AG143" s="21" t="n">
        <x:v>0</x:v>
      </x:c>
      <x:c r="AH143" s="21" t="n">
        <x:v>0</x:v>
      </x:c>
      <x:c r="AI143" s="21" t="n">
        <x:v>0</x:v>
      </x:c>
      <x:c r="AJ143" s="21" t="n">
        <x:v>0</x:v>
      </x:c>
      <x:c r="AK143" s="21" t="n">
        <x:v>0</x:v>
      </x:c>
      <x:c r="AL143" s="21" t="n">
        <x:v>0</x:v>
      </x:c>
      <x:c r="AM143" s="21" t="n">
        <x:v>0.9666666666666667</x:v>
      </x:c>
      <x:c r="AN143" s="21" t="n">
        <x:v>1</x:v>
      </x:c>
      <x:c r="AO143" s="21" t="n">
        <x:v>1</x:v>
      </x:c>
      <x:c r="AP143" s="21" t="n">
        <x:v>0.99</x:v>
      </x:c>
      <x:c r="AQ143" s="21" t="n">
        <x:v>1</x:v>
      </x:c>
      <x:c r="AR143" s="21" t="n">
        <x:v>1</x:v>
      </x:c>
      <x:c r="AS143" s="21" t="n">
        <x:v>1</x:v>
      </x:c>
      <x:c r="AT143" s="21" t="n">
        <x:v>1</x:v>
      </x:c>
      <x:c r="AU143" s="21" t="n">
        <x:v>0</x:v>
      </x:c>
      <x:c r="AV143" s="22" t="n">
        <x:f>IF(C143="QB",N143*0.04+O143*4-P143*2+R143*0.1+S143*6,IF(OR(C143="RB",C143="WR",C143="TE"),U143*0.1+V143*6+R143*0.1+S143*6+X143*0.5+Y143*0.1+Z143*6,IF(C143="K",AC143*3+AD143*4+AE143*5+AF143,IF(C143="DST",AG143+AH143*2+AI143*6+AL143,0))))</x:f>
        <x:v>12.203739130434785</x:v>
      </x:c>
      <x:c r="AW143" s="22" t="n">
        <x:f>(AV143+AU143)*G143</x:f>
        <x:v>11.79694782608696</x:v>
      </x:c>
      <x:c r="AX143" s="22" t="n">
        <x:f>MAX(0,AW143*IF(C143="QB",0.68,IF(C143="RB",0.58,IF(C143="WR",0.52,IF(C143="TE",0.50,IF(C143="K",0.55,0.40))))))</x:f>
        <x:v>6.134412869565219</x:v>
      </x:c>
      <x:c r="AY143" s="22" t="n">
        <x:f>AW143*IF(C143="QB",1.32,IF(C143="RB",1.45,IF(C143="WR",1.55,IF(C143="TE",1.60,IF(C143="K",1.45,1.65)))))</x:f>
        <x:v>18.285269130434788</x:v>
      </x:c>
      <x:c r="AZ143" s="12" t="str">
        <x:v>Moderate</x:v>
      </x:c>
      <x:c r="BA143" s="12" t="n">
        <x:v>1</x:v>
      </x:c>
      <x:c r="BB143" s="12" t="n">
        <x:f>COUNTIFS($C$2:$C$344,C143,$AW$2:$AW$344,"&gt;"&amp;AW143,$G$2:$G$344,"&gt;0")+COUNTIFS($C$2:C143,C143,$AW$2:AW143,AW143,$G$2:G143,"&gt;0")</x:f>
        <x:v>11</x:v>
      </x:c>
      <x:c r="BC143" s="12" t="n">
        <x:v>10</x:v>
      </x:c>
      <x:c r="BD143" s="12" t="str">
        <x:f>IF(BB143&lt;BC143,"↑",IF(BB143&gt;BC143,"↓","→"))</x:f>
        <x:v>↓</x:v>
      </x:c>
      <x:c r="BE143" s="23" t="str">
        <x:v>Fantasy Football Brief ROS baseline; official NFL schedule</x:v>
      </x:c>
      <x:c r="BF143" s="23" t="str">
        <x:v>Current role and availability baseline; all adjustment factors shown numerically</x:v>
      </x:c>
      <x:c r="BG143" s="23" t="str">
        <x:v>Material injury, depth-chart, or role change</x:v>
      </x:c>
      <x:c r="BH143" s="24" t="str">
        <x:v>2026-09-23 10:35 CT</x:v>
      </x:c>
    </x:row>
    <x:row r="144">
      <x:c r="A144" s="12" t="str">
        <x:v>DeVonta Smith</x:v>
      </x:c>
      <x:c r="B144" s="12" t="str">
        <x:v>PHI</x:v>
      </x:c>
      <x:c r="C144" s="12" t="str">
        <x:v>WR</x:v>
      </x:c>
      <x:c r="D144" s="12" t="str">
        <x:v>CHI</x:v>
      </x:c>
      <x:c r="E144" s="12" t="str">
        <x:v>Away</x:v>
      </x:c>
      <x:c r="F144" s="12" t="str">
        <x:v>2026-09-28</x:v>
      </x:c>
      <x:c r="G144" s="19" t="n">
        <x:v>1</x:v>
      </x:c>
      <x:c r="H144" s="20" t="str">
        <x:v>ACTIVE</x:v>
      </x:c>
      <x:c r="I144" s="20" t="n">
        <x:v>52</x:v>
      </x:c>
      <x:c r="J144" s="20" t="str">
        <x:v>Routes</x:v>
      </x:c>
      <x:c r="K144" s="20" t="n">
        <x:v>32.34782608695653</x:v>
      </x:c>
      <x:c r="L144" s="21" t="n">
        <x:v>0</x:v>
      </x:c>
      <x:c r="M144" s="21" t="n">
        <x:v>0</x:v>
      </x:c>
      <x:c r="N144" s="21" t="n">
        <x:v>0</x:v>
      </x:c>
      <x:c r="O144" s="21" t="n">
        <x:v>0</x:v>
      </x:c>
      <x:c r="P144" s="21" t="n">
        <x:v>0</x:v>
      </x:c>
      <x:c r="Q144" s="21" t="n">
        <x:v>0.2086956521739131</x:v>
      </x:c>
      <x:c r="R144" s="21" t="n">
        <x:v>2.1925565217391307</x:v>
      </x:c>
      <x:c r="S144" s="21" t="n">
        <x:v>0</x:v>
      </x:c>
      <x:c r="T144" s="21" t="n">
        <x:v>0</x:v>
      </x:c>
      <x:c r="U144" s="21" t="n">
        <x:v>0</x:v>
      </x:c>
      <x:c r="V144" s="21" t="n">
        <x:v>0</x:v>
      </x:c>
      <x:c r="W144" s="21" t="n">
        <x:v>7.304347826086958</x:v>
      </x:c>
      <x:c r="X144" s="21" t="n">
        <x:v>4.695652173913045</x:v>
      </x:c>
      <x:c r="Y144" s="21" t="n">
        <x:v>63.58413913043479</x:v>
      </x:c>
      <x:c r="Z144" s="21" t="n">
        <x:v>0.3836973913043479</x:v>
      </x:c>
      <x:c r="AA144" s="21" t="n">
        <x:v>32.34782608695653</x:v>
      </x:c>
      <x:c r="AB144" s="21" t="n">
        <x:v>0.78</x:v>
      </x:c>
      <x:c r="AC144" s="21" t="n">
        <x:v>0</x:v>
      </x:c>
      <x:c r="AD144" s="21" t="n">
        <x:v>0</x:v>
      </x:c>
      <x:c r="AE144" s="21" t="n">
        <x:v>0</x:v>
      </x:c>
      <x:c r="AF144" s="21" t="n">
        <x:v>0</x:v>
      </x:c>
      <x:c r="AG144" s="21" t="n">
        <x:v>0</x:v>
      </x:c>
      <x:c r="AH144" s="21" t="n">
        <x:v>0</x:v>
      </x:c>
      <x:c r="AI144" s="21" t="n">
        <x:v>0</x:v>
      </x:c>
      <x:c r="AJ144" s="21" t="n">
        <x:v>0</x:v>
      </x:c>
      <x:c r="AK144" s="21" t="n">
        <x:v>0</x:v>
      </x:c>
      <x:c r="AL144" s="21" t="n">
        <x:v>0</x:v>
      </x:c>
      <x:c r="AM144" s="21" t="n">
        <x:v>1</x:v>
      </x:c>
      <x:c r="AN144" s="21" t="n">
        <x:v>1</x:v>
      </x:c>
      <x:c r="AO144" s="21" t="n">
        <x:v>1</x:v>
      </x:c>
      <x:c r="AP144" s="21" t="n">
        <x:v>1.03</x:v>
      </x:c>
      <x:c r="AQ144" s="21" t="n">
        <x:v>1.02</x:v>
      </x:c>
      <x:c r="AR144" s="21" t="n">
        <x:v>1</x:v>
      </x:c>
      <x:c r="AS144" s="21" t="n">
        <x:v>1</x:v>
      </x:c>
      <x:c r="AT144" s="21" t="n">
        <x:v>1</x:v>
      </x:c>
      <x:c r="AU144" s="21" t="n">
        <x:v>0</x:v>
      </x:c>
      <x:c r="AV144" s="22" t="n">
        <x:f>IF(C144="QB",N144*0.04+O144*4-P144*2+R144*0.1+S144*6,IF(OR(C144="RB",C144="WR",C144="TE"),U144*0.1+V144*6+R144*0.1+S144*6+X144*0.5+Y144*0.1+Z144*6,IF(C144="K",AC144*3+AD144*4+AE144*5+AF144,IF(C144="DST",AG144+AH144*2+AI144*6+AL144,0))))</x:f>
        <x:v>11.227680000000003</x:v>
      </x:c>
      <x:c r="AW144" s="22" t="n">
        <x:f>(AV144+AU144)*G144</x:f>
        <x:v>11.227680000000003</x:v>
      </x:c>
      <x:c r="AX144" s="22" t="n">
        <x:f>MAX(0,AW144*IF(C144="QB",0.68,IF(C144="RB",0.58,IF(C144="WR",0.52,IF(C144="TE",0.50,IF(C144="K",0.55,0.40))))))</x:f>
        <x:v>5.838393600000002</x:v>
      </x:c>
      <x:c r="AY144" s="22" t="n">
        <x:f>AW144*IF(C144="QB",1.32,IF(C144="RB",1.45,IF(C144="WR",1.55,IF(C144="TE",1.60,IF(C144="K",1.45,1.65)))))</x:f>
        <x:v>17.402904000000007</x:v>
      </x:c>
      <x:c r="AZ144" s="12" t="str">
        <x:v>High</x:v>
      </x:c>
      <x:c r="BA144" s="12" t="n">
        <x:v>1</x:v>
      </x:c>
      <x:c r="BB144" s="12" t="n">
        <x:f>COUNTIFS($C$2:$C$344,C144,$AW$2:$AW$344,"&gt;"&amp;AW144,$G$2:$G$344,"&gt;0")+COUNTIFS($C$2:C144,C144,$AW$2:AW144,AW144,$G$2:G144,"&gt;0")</x:f>
        <x:v>12</x:v>
      </x:c>
      <x:c r="BC144" s="12" t="n">
        <x:v>12</x:v>
      </x:c>
      <x:c r="BD144" s="12" t="str">
        <x:f>IF(BB144&lt;BC144,"↑",IF(BB144&gt;BC144,"↓","→"))</x:f>
        <x:v>→</x:v>
      </x:c>
      <x:c r="BE144" s="23" t="str">
        <x:v>Fantasy Football Brief ROS baseline; official NFL schedule</x:v>
      </x:c>
      <x:c r="BF144" s="23" t="str">
        <x:v>Current role and availability baseline; all adjustment factors shown numerically</x:v>
      </x:c>
      <x:c r="BG144" s="23" t="str">
        <x:v>Material injury, depth-chart, or role change</x:v>
      </x:c>
      <x:c r="BH144" s="24" t="str">
        <x:v>2026-09-23 10:35 CT</x:v>
      </x:c>
    </x:row>
    <x:row r="145">
      <x:c r="A145" s="12" t="str">
        <x:v>DJ Moore</x:v>
      </x:c>
      <x:c r="B145" s="12" t="str">
        <x:v>BUF</x:v>
      </x:c>
      <x:c r="C145" s="12" t="str">
        <x:v>WR</x:v>
      </x:c>
      <x:c r="D145" s="12" t="str">
        <x:v>LAC</x:v>
      </x:c>
      <x:c r="E145" s="12" t="str">
        <x:v>Home</x:v>
      </x:c>
      <x:c r="F145" s="12" t="str">
        <x:v>2026-09-27</x:v>
      </x:c>
      <x:c r="G145" s="19" t="n">
        <x:v>0.9666666666666667</x:v>
      </x:c>
      <x:c r="H145" s="20" t="str">
        <x:v>ACTIVE</x:v>
      </x:c>
      <x:c r="I145" s="20" t="n">
        <x:v>50.266666666666666</x:v>
      </x:c>
      <x:c r="J145" s="20" t="str">
        <x:v>Routes</x:v>
      </x:c>
      <x:c r="K145" s="20" t="n">
        <x:v>32.94685990338164</x:v>
      </x:c>
      <x:c r="L145" s="21" t="n">
        <x:v>0</x:v>
      </x:c>
      <x:c r="M145" s="21" t="n">
        <x:v>0</x:v>
      </x:c>
      <x:c r="N145" s="21" t="n">
        <x:v>0</x:v>
      </x:c>
      <x:c r="O145" s="21" t="n">
        <x:v>0</x:v>
      </x:c>
      <x:c r="P145" s="21" t="n">
        <x:v>0</x:v>
      </x:c>
      <x:c r="Q145" s="21" t="n">
        <x:v>0.21256038647342998</x:v>
      </x:c>
      <x:c r="R145" s="21" t="n">
        <x:v>2.1664154589371982</x:v>
      </x:c>
      <x:c r="S145" s="21" t="n">
        <x:v>0</x:v>
      </x:c>
      <x:c r="T145" s="21" t="n">
        <x:v>0</x:v>
      </x:c>
      <x:c r="U145" s="21" t="n">
        <x:v>0</x:v>
      </x:c>
      <x:c r="V145" s="21" t="n">
        <x:v>0</x:v>
      </x:c>
      <x:c r="W145" s="21" t="n">
        <x:v>7.4396135265700485</x:v>
      </x:c>
      <x:c r="X145" s="21" t="n">
        <x:v>4.782608695652174</x:v>
      </x:c>
      <x:c r="Y145" s="21" t="n">
        <x:v>62.82604830917875</x:v>
      </x:c>
      <x:c r="Z145" s="21" t="n">
        <x:v>0.3791227053140097</x:v>
      </x:c>
      <x:c r="AA145" s="21" t="n">
        <x:v>32.94685990338164</x:v>
      </x:c>
      <x:c r="AB145" s="21" t="n">
        <x:v>0.78</x:v>
      </x:c>
      <x:c r="AC145" s="21" t="n">
        <x:v>0</x:v>
      </x:c>
      <x:c r="AD145" s="21" t="n">
        <x:v>0</x:v>
      </x:c>
      <x:c r="AE145" s="21" t="n">
        <x:v>0</x:v>
      </x:c>
      <x:c r="AF145" s="21" t="n">
        <x:v>0</x:v>
      </x:c>
      <x:c r="AG145" s="21" t="n">
        <x:v>0</x:v>
      </x:c>
      <x:c r="AH145" s="21" t="n">
        <x:v>0</x:v>
      </x:c>
      <x:c r="AI145" s="21" t="n">
        <x:v>0</x:v>
      </x:c>
      <x:c r="AJ145" s="21" t="n">
        <x:v>0</x:v>
      </x:c>
      <x:c r="AK145" s="21" t="n">
        <x:v>0</x:v>
      </x:c>
      <x:c r="AL145" s="21" t="n">
        <x:v>0</x:v>
      </x:c>
      <x:c r="AM145" s="21" t="n">
        <x:v>0.9666666666666667</x:v>
      </x:c>
      <x:c r="AN145" s="21" t="n">
        <x:v>1</x:v>
      </x:c>
      <x:c r="AO145" s="21" t="n">
        <x:v>1</x:v>
      </x:c>
      <x:c r="AP145" s="21" t="n">
        <x:v>1.04</x:v>
      </x:c>
      <x:c r="AQ145" s="21" t="n">
        <x:v>0.98</x:v>
      </x:c>
      <x:c r="AR145" s="21" t="n">
        <x:v>1</x:v>
      </x:c>
      <x:c r="AS145" s="21" t="n">
        <x:v>1</x:v>
      </x:c>
      <x:c r="AT145" s="21" t="n">
        <x:v>1</x:v>
      </x:c>
      <x:c r="AU145" s="21" t="n">
        <x:v>0</x:v>
      </x:c>
      <x:c r="AV145" s="22" t="n">
        <x:f>IF(C145="QB",N145*0.04+O145*4-P145*2+R145*0.1+S145*6,IF(OR(C145="RB",C145="WR",C145="TE"),U145*0.1+V145*6+R145*0.1+S145*6+X145*0.5+Y145*0.1+Z145*6,IF(C145="K",AC145*3+AD145*4+AE145*5+AF145,IF(C145="DST",AG145+AH145*2+AI145*6+AL145,0))))</x:f>
        <x:v>11.16528695652174</x:v>
      </x:c>
      <x:c r="AW145" s="22" t="n">
        <x:f>(AV145+AU145)*G145</x:f>
        <x:v>10.793110724637682</x:v>
      </x:c>
      <x:c r="AX145" s="22" t="n">
        <x:f>MAX(0,AW145*IF(C145="QB",0.68,IF(C145="RB",0.58,IF(C145="WR",0.52,IF(C145="TE",0.50,IF(C145="K",0.55,0.40))))))</x:f>
        <x:v>5.612417576811595</x:v>
      </x:c>
      <x:c r="AY145" s="22" t="n">
        <x:f>AW145*IF(C145="QB",1.32,IF(C145="RB",1.45,IF(C145="WR",1.55,IF(C145="TE",1.60,IF(C145="K",1.45,1.65)))))</x:f>
        <x:v>16.729321623188408</x:v>
      </x:c>
      <x:c r="AZ145" s="12" t="str">
        <x:v>Moderate</x:v>
      </x:c>
      <x:c r="BA145" s="12" t="n">
        <x:v>1</x:v>
      </x:c>
      <x:c r="BB145" s="12" t="n">
        <x:f>COUNTIFS($C$2:$C$344,C145,$AW$2:$AW$344,"&gt;"&amp;AW145,$G$2:$G$344,"&gt;0")+COUNTIFS($C$2:C145,C145,$AW$2:AW145,AW145,$G$2:G145,"&gt;0")</x:f>
        <x:v>13</x:v>
      </x:c>
      <x:c r="BC145" s="12" t="n">
        <x:v>13</x:v>
      </x:c>
      <x:c r="BD145" s="12" t="str">
        <x:f>IF(BB145&lt;BC145,"↑",IF(BB145&gt;BC145,"↓","→"))</x:f>
        <x:v>→</x:v>
      </x:c>
      <x:c r="BE145" s="23" t="str">
        <x:v>Fantasy Football Brief ROS baseline; official NFL schedule</x:v>
      </x:c>
      <x:c r="BF145" s="23" t="str">
        <x:v>Current role and availability baseline; all adjustment factors shown numerically</x:v>
      </x:c>
      <x:c r="BG145" s="23" t="str">
        <x:v>Material injury, depth-chart, or role change</x:v>
      </x:c>
      <x:c r="BH145" s="24" t="str">
        <x:v>2026-09-23 10:35 CT</x:v>
      </x:c>
    </x:row>
    <x:row r="146">
      <x:c r="A146" s="12" t="str">
        <x:v>Tee Higgins</x:v>
      </x:c>
      <x:c r="B146" s="12" t="str">
        <x:v>CIN</x:v>
      </x:c>
      <x:c r="C146" s="12" t="str">
        <x:v>WR</x:v>
      </x:c>
      <x:c r="D146" s="12" t="str">
        <x:v>PIT</x:v>
      </x:c>
      <x:c r="E146" s="12" t="str">
        <x:v>Away</x:v>
      </x:c>
      <x:c r="F146" s="12" t="str">
        <x:v>2026-09-27</x:v>
      </x:c>
      <x:c r="G146" s="19" t="n">
        <x:v>1</x:v>
      </x:c>
      <x:c r="H146" s="20" t="str">
        <x:v>ACTIVE</x:v>
      </x:c>
      <x:c r="I146" s="20" t="n">
        <x:v>52</x:v>
      </x:c>
      <x:c r="J146" s="20" t="str">
        <x:v>Routes</x:v>
      </x:c>
      <x:c r="K146" s="20" t="n">
        <x:v>32.64734299516908</x:v>
      </x:c>
      <x:c r="L146" s="21" t="n">
        <x:v>0</x:v>
      </x:c>
      <x:c r="M146" s="21" t="n">
        <x:v>0</x:v>
      </x:c>
      <x:c r="N146" s="21" t="n">
        <x:v>0</x:v>
      </x:c>
      <x:c r="O146" s="21" t="n">
        <x:v>0</x:v>
      </x:c>
      <x:c r="P146" s="21" t="n">
        <x:v>0</x:v>
      </x:c>
      <x:c r="Q146" s="21" t="n">
        <x:v>0.2106280193236715</x:v>
      </x:c>
      <x:c r="R146" s="21" t="n">
        <x:v>2.0635227053140097</x:v>
      </x:c>
      <x:c r="S146" s="21" t="n">
        <x:v>0</x:v>
      </x:c>
      <x:c r="T146" s="21" t="n">
        <x:v>0</x:v>
      </x:c>
      <x:c r="U146" s="21" t="n">
        <x:v>0</x:v>
      </x:c>
      <x:c r="V146" s="21" t="n">
        <x:v>0</x:v>
      </x:c>
      <x:c r="W146" s="21" t="n">
        <x:v>7.371980676328502</x:v>
      </x:c>
      <x:c r="X146" s="21" t="n">
        <x:v>4.739130434782608</x:v>
      </x:c>
      <x:c r="Y146" s="21" t="n">
        <x:v>59.842158454106276</x:v>
      </x:c>
      <x:c r="Z146" s="21" t="n">
        <x:v>0.3611164734299517</x:v>
      </x:c>
      <x:c r="AA146" s="21" t="n">
        <x:v>32.64734299516908</x:v>
      </x:c>
      <x:c r="AB146" s="21" t="n">
        <x:v>0.78</x:v>
      </x:c>
      <x:c r="AC146" s="21" t="n">
        <x:v>0</x:v>
      </x:c>
      <x:c r="AD146" s="21" t="n">
        <x:v>0</x:v>
      </x:c>
      <x:c r="AE146" s="21" t="n">
        <x:v>0</x:v>
      </x:c>
      <x:c r="AF146" s="21" t="n">
        <x:v>0</x:v>
      </x:c>
      <x:c r="AG146" s="21" t="n">
        <x:v>0</x:v>
      </x:c>
      <x:c r="AH146" s="21" t="n">
        <x:v>0</x:v>
      </x:c>
      <x:c r="AI146" s="21" t="n">
        <x:v>0</x:v>
      </x:c>
      <x:c r="AJ146" s="21" t="n">
        <x:v>0</x:v>
      </x:c>
      <x:c r="AK146" s="21" t="n">
        <x:v>0</x:v>
      </x:c>
      <x:c r="AL146" s="21" t="n">
        <x:v>0</x:v>
      </x:c>
      <x:c r="AM146" s="21" t="n">
        <x:v>1</x:v>
      </x:c>
      <x:c r="AN146" s="21" t="n">
        <x:v>1</x:v>
      </x:c>
      <x:c r="AO146" s="21" t="n">
        <x:v>1</x:v>
      </x:c>
      <x:c r="AP146" s="21" t="n">
        <x:v>1.01</x:v>
      </x:c>
      <x:c r="AQ146" s="21" t="n">
        <x:v>0.97</x:v>
      </x:c>
      <x:c r="AR146" s="21" t="n">
        <x:v>1</x:v>
      </x:c>
      <x:c r="AS146" s="21" t="n">
        <x:v>1</x:v>
      </x:c>
      <x:c r="AT146" s="21" t="n">
        <x:v>1</x:v>
      </x:c>
      <x:c r="AU146" s="21" t="n">
        <x:v>0</x:v>
      </x:c>
      <x:c r="AV146" s="22" t="n">
        <x:f>IF(C146="QB",N146*0.04+O146*4-P146*2+R146*0.1+S146*6,IF(OR(C146="RB",C146="WR",C146="TE"),U146*0.1+V146*6+R146*0.1+S146*6+X146*0.5+Y146*0.1+Z146*6,IF(C146="K",AC146*3+AD146*4+AE146*5+AF146,IF(C146="DST",AG146+AH146*2+AI146*6+AL146,0))))</x:f>
        <x:v>10.726832173913042</x:v>
      </x:c>
      <x:c r="AW146" s="22" t="n">
        <x:f>(AV146+AU146)*G146</x:f>
        <x:v>10.726832173913042</x:v>
      </x:c>
      <x:c r="AX146" s="22" t="n">
        <x:f>MAX(0,AW146*IF(C146="QB",0.68,IF(C146="RB",0.58,IF(C146="WR",0.52,IF(C146="TE",0.50,IF(C146="K",0.55,0.40))))))</x:f>
        <x:v>5.577952730434782</x:v>
      </x:c>
      <x:c r="AY146" s="22" t="n">
        <x:f>AW146*IF(C146="QB",1.32,IF(C146="RB",1.45,IF(C146="WR",1.55,IF(C146="TE",1.60,IF(C146="K",1.45,1.65)))))</x:f>
        <x:v>16.626589869565215</x:v>
      </x:c>
      <x:c r="AZ146" s="12" t="str">
        <x:v>High</x:v>
      </x:c>
      <x:c r="BA146" s="12" t="n">
        <x:v>1</x:v>
      </x:c>
      <x:c r="BB146" s="12" t="n">
        <x:f>COUNTIFS($C$2:$C$344,C146,$AW$2:$AW$344,"&gt;"&amp;AW146,$G$2:$G$344,"&gt;0")+COUNTIFS($C$2:C146,C146,$AW$2:AW146,AW146,$G$2:G146,"&gt;0")</x:f>
        <x:v>14</x:v>
      </x:c>
      <x:c r="BC146" s="12" t="n">
        <x:v>14</x:v>
      </x:c>
      <x:c r="BD146" s="12" t="str">
        <x:f>IF(BB146&lt;BC146,"↑",IF(BB146&gt;BC146,"↓","→"))</x:f>
        <x:v>→</x:v>
      </x:c>
      <x:c r="BE146" s="23" t="str">
        <x:v>Fantasy Football Brief ROS baseline; official NFL schedule</x:v>
      </x:c>
      <x:c r="BF146" s="23" t="str">
        <x:v>Current role and availability baseline; all adjustment factors shown numerically</x:v>
      </x:c>
      <x:c r="BG146" s="23" t="str">
        <x:v>Material injury, depth-chart, or role change</x:v>
      </x:c>
      <x:c r="BH146" s="24" t="str">
        <x:v>2026-09-23 10:35 CT</x:v>
      </x:c>
    </x:row>
    <x:row r="147">
      <x:c r="A147" s="12" t="str">
        <x:v>Rome Odunze</x:v>
      </x:c>
      <x:c r="B147" s="12" t="str">
        <x:v>CHI</x:v>
      </x:c>
      <x:c r="C147" s="12" t="str">
        <x:v>WR</x:v>
      </x:c>
      <x:c r="D147" s="12" t="str">
        <x:v>PHI</x:v>
      </x:c>
      <x:c r="E147" s="12" t="str">
        <x:v>Home</x:v>
      </x:c>
      <x:c r="F147" s="12" t="str">
        <x:v>2026-09-28</x:v>
      </x:c>
      <x:c r="G147" s="19" t="n">
        <x:v>1</x:v>
      </x:c>
      <x:c r="H147" s="20" t="str">
        <x:v>ACTIVE</x:v>
      </x:c>
      <x:c r="I147" s="20" t="n">
        <x:v>51</x:v>
      </x:c>
      <x:c r="J147" s="20" t="str">
        <x:v>Routes</x:v>
      </x:c>
      <x:c r="K147" s="20" t="n">
        <x:v>29</x:v>
      </x:c>
      <x:c r="L147" s="21" t="n">
        <x:v>0</x:v>
      </x:c>
      <x:c r="M147" s="21" t="n">
        <x:v>0</x:v>
      </x:c>
      <x:c r="N147" s="21" t="n">
        <x:v>0</x:v>
      </x:c>
      <x:c r="O147" s="21" t="n">
        <x:v>0</x:v>
      </x:c>
      <x:c r="P147" s="21" t="n">
        <x:v>0</x:v>
      </x:c>
      <x:c r="Q147" s="21" t="n">
        <x:v>0.2241545893719807</x:v>
      </x:c>
      <x:c r="R147" s="21" t="n">
        <x:v>2.0227710144927533</x:v>
      </x:c>
      <x:c r="S147" s="21" t="n">
        <x:v>0</x:v>
      </x:c>
      <x:c r="T147" s="21" t="n">
        <x:v>0</x:v>
      </x:c>
      <x:c r="U147" s="21" t="n">
        <x:v>0</x:v>
      </x:c>
      <x:c r="V147" s="21" t="n">
        <x:v>0</x:v>
      </x:c>
      <x:c r="W147" s="21" t="n">
        <x:v>7</x:v>
      </x:c>
      <x:c r="X147" s="21" t="n">
        <x:v>4.2</x:v>
      </x:c>
      <x:c r="Y147" s="21" t="n">
        <x:v>48</x:v>
      </x:c>
      <x:c r="Z147" s="21" t="n">
        <x:v>0.24</x:v>
      </x:c>
      <x:c r="AA147" s="21" t="n">
        <x:v>29</x:v>
      </x:c>
      <x:c r="AB147" s="21" t="n">
        <x:v>0.8529411764705882</x:v>
      </x:c>
      <x:c r="AC147" s="21" t="n">
        <x:v>0</x:v>
      </x:c>
      <x:c r="AD147" s="21" t="n">
        <x:v>0</x:v>
      </x:c>
      <x:c r="AE147" s="21" t="n">
        <x:v>0</x:v>
      </x:c>
      <x:c r="AF147" s="21" t="n">
        <x:v>0</x:v>
      </x:c>
      <x:c r="AG147" s="21" t="n">
        <x:v>0</x:v>
      </x:c>
      <x:c r="AH147" s="21" t="n">
        <x:v>0</x:v>
      </x:c>
      <x:c r="AI147" s="21" t="n">
        <x:v>0</x:v>
      </x:c>
      <x:c r="AJ147" s="21" t="n">
        <x:v>0</x:v>
      </x:c>
      <x:c r="AK147" s="21" t="n">
        <x:v>0</x:v>
      </x:c>
      <x:c r="AL147" s="21" t="n">
        <x:v>0</x:v>
      </x:c>
      <x:c r="AM147" s="21" t="n">
        <x:v>1</x:v>
      </x:c>
      <x:c r="AN147" s="21" t="n">
        <x:v>1</x:v>
      </x:c>
      <x:c r="AO147" s="21" t="n">
        <x:v>1</x:v>
      </x:c>
      <x:c r="AP147" s="21" t="n">
        <x:v>0.96</x:v>
      </x:c>
      <x:c r="AQ147" s="21" t="n">
        <x:v>0.94</x:v>
      </x:c>
      <x:c r="AR147" s="21" t="n">
        <x:v>1</x:v>
      </x:c>
      <x:c r="AS147" s="21" t="n">
        <x:v>1</x:v>
      </x:c>
      <x:c r="AT147" s="21" t="n">
        <x:v>1</x:v>
      </x:c>
      <x:c r="AU147" s="21" t="n">
        <x:v>0</x:v>
      </x:c>
      <x:c r="AV147" s="22" t="n">
        <x:f>IF(C147="QB",N147*0.04+O147*4-P147*2+R147*0.1+S147*6,IF(OR(C147="RB",C147="WR",C147="TE"),U147*0.1+V147*6+R147*0.1+S147*6+X147*0.5+Y147*0.1+Z147*6,IF(C147="K",AC147*3+AD147*4+AE147*5+AF147,IF(C147="DST",AG147+AH147*2+AI147*6+AL147,0))))</x:f>
        <x:v>8.542277101449276</x:v>
      </x:c>
      <x:c r="AW147" s="22" t="n">
        <x:f>(AV147+AU147)*G147</x:f>
        <x:v>8.542277101449276</x:v>
      </x:c>
      <x:c r="AX147" s="22" t="n">
        <x:f>MAX(0,AW147*IF(C147="QB",0.68,IF(C147="RB",0.58,IF(C147="WR",0.52,IF(C147="TE",0.50,IF(C147="K",0.55,0.40))))))</x:f>
        <x:v>4.441984092753624</x:v>
      </x:c>
      <x:c r="AY147" s="22" t="n">
        <x:f>AW147*IF(C147="QB",1.32,IF(C147="RB",1.45,IF(C147="WR",1.55,IF(C147="TE",1.60,IF(C147="K",1.45,1.65)))))</x:f>
        <x:v>13.240529507246379</x:v>
      </x:c>
      <x:c r="AZ147" s="12" t="str">
        <x:v>Moderate</x:v>
      </x:c>
      <x:c r="BA147" s="12" t="n">
        <x:v>2</x:v>
      </x:c>
      <x:c r="BB147" s="12" t="n">
        <x:f>COUNTIFS($C$2:$C$344,C147,$AW$2:$AW$344,"&gt;"&amp;AW147,$G$2:$G$344,"&gt;0")+COUNTIFS($C$2:C147,C147,$AW$2:AW147,AW147,$G$2:G147,"&gt;0")</x:f>
        <x:v>30</x:v>
      </x:c>
      <x:c r="BC147" s="12" t="n">
        <x:v>15</x:v>
      </x:c>
      <x:c r="BD147" s="12" t="str">
        <x:f>IF(BB147&lt;BC147,"↑",IF(BB147&gt;BC147,"↓","→"))</x:f>
        <x:v>↓</x:v>
      </x:c>
      <x:c r="BE147" s="23" t="str">
        <x:v>https://www.chicagobears.com/team/injury-report/</x:v>
      </x:c>
      <x:c r="BF147" s="23" t="str">
        <x:v>Thursday official report: Williams and Bagent both DNP; Keenum contingency. Editorial mixed-QB team envelope30attempts,18completions,190yards,1.0TD. No permanent ROS downgrade. Reduced efficiency/TD expectation;6–9 targets. Hold; matchup-dependent WR3/Flex,prefer healthy alternative.</x:v>
      </x:c>
      <x:c r="BG147" s="23" t="str">
        <x:v>Next official practice report and game-status designation</x:v>
      </x:c>
      <x:c r="BH147" s="24" t="str">
        <x:v>2026-09-24 7:40 PM CT</x:v>
      </x:c>
    </x:row>
    <x:row r="148">
      <x:c r="A148" s="12" t="str">
        <x:v>Garrett Wilson</x:v>
      </x:c>
      <x:c r="B148" s="12" t="str">
        <x:v>NYJ</x:v>
      </x:c>
      <x:c r="C148" s="12" t="str">
        <x:v>WR</x:v>
      </x:c>
      <x:c r="D148" s="12" t="str">
        <x:v>DET</x:v>
      </x:c>
      <x:c r="E148" s="12" t="str">
        <x:v>Away</x:v>
      </x:c>
      <x:c r="F148" s="12" t="str">
        <x:v>2026-09-27</x:v>
      </x:c>
      <x:c r="G148" s="19" t="n">
        <x:v>1</x:v>
      </x:c>
      <x:c r="H148" s="20" t="str">
        <x:v>ACTIVE</x:v>
      </x:c>
      <x:c r="I148" s="20" t="n">
        <x:v>52</x:v>
      </x:c>
      <x:c r="J148" s="20" t="str">
        <x:v>Routes</x:v>
      </x:c>
      <x:c r="K148" s="20" t="n">
        <x:v>31.748792270531403</x:v>
      </x:c>
      <x:c r="L148" s="21" t="n">
        <x:v>0</x:v>
      </x:c>
      <x:c r="M148" s="21" t="n">
        <x:v>0</x:v>
      </x:c>
      <x:c r="N148" s="21" t="n">
        <x:v>0</x:v>
      </x:c>
      <x:c r="O148" s="21" t="n">
        <x:v>0</x:v>
      </x:c>
      <x:c r="P148" s="21" t="n">
        <x:v>0</x:v>
      </x:c>
      <x:c r="Q148" s="21" t="n">
        <x:v>0.20483091787439617</x:v>
      </x:c>
      <x:c r="R148" s="21" t="n">
        <x:v>2.066334299516908</x:v>
      </x:c>
      <x:c r="S148" s="21" t="n">
        <x:v>0</x:v>
      </x:c>
      <x:c r="T148" s="21" t="n">
        <x:v>0</x:v>
      </x:c>
      <x:c r="U148" s="21" t="n">
        <x:v>0</x:v>
      </x:c>
      <x:c r="V148" s="21" t="n">
        <x:v>0</x:v>
      </x:c>
      <x:c r="W148" s="21" t="n">
        <x:v>7.1690821256038655</x:v>
      </x:c>
      <x:c r="X148" s="21" t="n">
        <x:v>4.608695652173914</x:v>
      </x:c>
      <x:c r="Y148" s="21" t="n">
        <x:v>59.92369468599034</x:v>
      </x:c>
      <x:c r="Z148" s="21" t="n">
        <x:v>0.36160850241545894</x:v>
      </x:c>
      <x:c r="AA148" s="21" t="n">
        <x:v>31.748792270531403</x:v>
      </x:c>
      <x:c r="AB148" s="21" t="n">
        <x:v>0.78</x:v>
      </x:c>
      <x:c r="AC148" s="21" t="n">
        <x:v>0</x:v>
      </x:c>
      <x:c r="AD148" s="21" t="n">
        <x:v>0</x:v>
      </x:c>
      <x:c r="AE148" s="21" t="n">
        <x:v>0</x:v>
      </x:c>
      <x:c r="AF148" s="21" t="n">
        <x:v>0</x:v>
      </x:c>
      <x:c r="AG148" s="21" t="n">
        <x:v>0</x:v>
      </x:c>
      <x:c r="AH148" s="21" t="n">
        <x:v>0</x:v>
      </x:c>
      <x:c r="AI148" s="21" t="n">
        <x:v>0</x:v>
      </x:c>
      <x:c r="AJ148" s="21" t="n">
        <x:v>0</x:v>
      </x:c>
      <x:c r="AK148" s="21" t="n">
        <x:v>0</x:v>
      </x:c>
      <x:c r="AL148" s="21" t="n">
        <x:v>0</x:v>
      </x:c>
      <x:c r="AM148" s="21" t="n">
        <x:v>1</x:v>
      </x:c>
      <x:c r="AN148" s="21" t="n">
        <x:v>1</x:v>
      </x:c>
      <x:c r="AO148" s="21" t="n">
        <x:v>1</x:v>
      </x:c>
      <x:c r="AP148" s="21" t="n">
        <x:v>0.97</x:v>
      </x:c>
      <x:c r="AQ148" s="21" t="n">
        <x:v>1.04</x:v>
      </x:c>
      <x:c r="AR148" s="21" t="n">
        <x:v>1</x:v>
      </x:c>
      <x:c r="AS148" s="21" t="n">
        <x:v>1</x:v>
      </x:c>
      <x:c r="AT148" s="21" t="n">
        <x:v>1</x:v>
      </x:c>
      <x:c r="AU148" s="21" t="n">
        <x:v>0</x:v>
      </x:c>
      <x:c r="AV148" s="22" t="n">
        <x:f>IF(C148="QB",N148*0.04+O148*4-P148*2+R148*0.1+S148*6,IF(OR(C148="RB",C148="WR",C148="TE"),U148*0.1+V148*6+R148*0.1+S148*6+X148*0.5+Y148*0.1+Z148*6,IF(C148="K",AC148*3+AD148*4+AE148*5+AF148,IF(C148="DST",AG148+AH148*2+AI148*6+AL148,0))))</x:f>
        <x:v>10.673001739130436</x:v>
      </x:c>
      <x:c r="AW148" s="22" t="n">
        <x:f>(AV148+AU148)*G148</x:f>
        <x:v>10.673001739130436</x:v>
      </x:c>
      <x:c r="AX148" s="22" t="n">
        <x:f>MAX(0,AW148*IF(C148="QB",0.68,IF(C148="RB",0.58,IF(C148="WR",0.52,IF(C148="TE",0.50,IF(C148="K",0.55,0.40))))))</x:f>
        <x:v>5.549960904347827</x:v>
      </x:c>
      <x:c r="AY148" s="22" t="n">
        <x:f>AW148*IF(C148="QB",1.32,IF(C148="RB",1.45,IF(C148="WR",1.55,IF(C148="TE",1.60,IF(C148="K",1.45,1.65)))))</x:f>
        <x:v>16.543152695652175</x:v>
      </x:c>
      <x:c r="AZ148" s="12" t="str">
        <x:v>High</x:v>
      </x:c>
      <x:c r="BA148" s="12" t="n">
        <x:v>2</x:v>
      </x:c>
      <x:c r="BB148" s="12" t="n">
        <x:f>COUNTIFS($C$2:$C$344,C148,$AW$2:$AW$344,"&gt;"&amp;AW148,$G$2:$G$344,"&gt;0")+COUNTIFS($C$2:C148,C148,$AW$2:AW148,AW148,$G$2:G148,"&gt;0")</x:f>
        <x:v>15</x:v>
      </x:c>
      <x:c r="BC148" s="12" t="n">
        <x:v>16</x:v>
      </x:c>
      <x:c r="BD148" s="12" t="str">
        <x:f>IF(BB148&lt;BC148,"↑",IF(BB148&gt;BC148,"↓","→"))</x:f>
        <x:v>↑</x:v>
      </x:c>
      <x:c r="BE148" s="23" t="str">
        <x:v>Fantasy Football Brief ROS baseline; official NFL schedule</x:v>
      </x:c>
      <x:c r="BF148" s="23" t="str">
        <x:v>Current role and availability baseline; all adjustment factors shown numerically</x:v>
      </x:c>
      <x:c r="BG148" s="23" t="str">
        <x:v>Material injury, depth-chart, or role change</x:v>
      </x:c>
      <x:c r="BH148" s="24" t="str">
        <x:v>2026-09-23 10:35 CT</x:v>
      </x:c>
    </x:row>
    <x:row r="149">
      <x:c r="A149" s="12" t="str">
        <x:v>Jameson Williams</x:v>
      </x:c>
      <x:c r="B149" s="12" t="str">
        <x:v>DET</x:v>
      </x:c>
      <x:c r="C149" s="12" t="str">
        <x:v>WR</x:v>
      </x:c>
      <x:c r="D149" s="12" t="str">
        <x:v>NYJ</x:v>
      </x:c>
      <x:c r="E149" s="12" t="str">
        <x:v>Home</x:v>
      </x:c>
      <x:c r="F149" s="12" t="str">
        <x:v>2026-09-27</x:v>
      </x:c>
      <x:c r="G149" s="19" t="n">
        <x:v>1</x:v>
      </x:c>
      <x:c r="H149" s="20" t="str">
        <x:v>ACTIVE</x:v>
      </x:c>
      <x:c r="I149" s="20" t="n">
        <x:v>52</x:v>
      </x:c>
      <x:c r="J149" s="20" t="str">
        <x:v>Routes</x:v>
      </x:c>
      <x:c r="K149" s="20" t="n">
        <x:v>30.2512077294686</x:v>
      </x:c>
      <x:c r="L149" s="21" t="n">
        <x:v>0</x:v>
      </x:c>
      <x:c r="M149" s="21" t="n">
        <x:v>0</x:v>
      </x:c>
      <x:c r="N149" s="21" t="n">
        <x:v>0</x:v>
      </x:c>
      <x:c r="O149" s="21" t="n">
        <x:v>0</x:v>
      </x:c>
      <x:c r="P149" s="21" t="n">
        <x:v>0</x:v>
      </x:c>
      <x:c r="Q149" s="21" t="n">
        <x:v>0.19516908212560388</x:v>
      </x:c>
      <x:c r="R149" s="21" t="n">
        <x:v>2.0705487922705315</x:v>
      </x:c>
      <x:c r="S149" s="21" t="n">
        <x:v>0</x:v>
      </x:c>
      <x:c r="T149" s="21" t="n">
        <x:v>0</x:v>
      </x:c>
      <x:c r="U149" s="21" t="n">
        <x:v>0</x:v>
      </x:c>
      <x:c r="V149" s="21" t="n">
        <x:v>0</x:v>
      </x:c>
      <x:c r="W149" s="21" t="n">
        <x:v>6.830917874396135</x:v>
      </x:c>
      <x:c r="X149" s="21" t="n">
        <x:v>4.391304347826087</x:v>
      </x:c>
      <x:c r="Y149" s="21" t="n">
        <x:v>60.045914975845406</x:v>
      </x:c>
      <x:c r="Z149" s="21" t="n">
        <x:v>0.362346038647343</x:v>
      </x:c>
      <x:c r="AA149" s="21" t="n">
        <x:v>30.2512077294686</x:v>
      </x:c>
      <x:c r="AB149" s="21" t="n">
        <x:v>0.78</x:v>
      </x:c>
      <x:c r="AC149" s="21" t="n">
        <x:v>0</x:v>
      </x:c>
      <x:c r="AD149" s="21" t="n">
        <x:v>0</x:v>
      </x:c>
      <x:c r="AE149" s="21" t="n">
        <x:v>0</x:v>
      </x:c>
      <x:c r="AF149" s="21" t="n">
        <x:v>0</x:v>
      </x:c>
      <x:c r="AG149" s="21" t="n">
        <x:v>0</x:v>
      </x:c>
      <x:c r="AH149" s="21" t="n">
        <x:v>0</x:v>
      </x:c>
      <x:c r="AI149" s="21" t="n">
        <x:v>0</x:v>
      </x:c>
      <x:c r="AJ149" s="21" t="n">
        <x:v>0</x:v>
      </x:c>
      <x:c r="AK149" s="21" t="n">
        <x:v>0</x:v>
      </x:c>
      <x:c r="AL149" s="21" t="n">
        <x:v>0</x:v>
      </x:c>
      <x:c r="AM149" s="21" t="n">
        <x:v>1</x:v>
      </x:c>
      <x:c r="AN149" s="21" t="n">
        <x:v>1</x:v>
      </x:c>
      <x:c r="AO149" s="21" t="n">
        <x:v>1</x:v>
      </x:c>
      <x:c r="AP149" s="21" t="n">
        <x:v>1.03</x:v>
      </x:c>
      <x:c r="AQ149" s="21" t="n">
        <x:v>1.03</x:v>
      </x:c>
      <x:c r="AR149" s="21" t="n">
        <x:v>1</x:v>
      </x:c>
      <x:c r="AS149" s="21" t="n">
        <x:v>1</x:v>
      </x:c>
      <x:c r="AT149" s="21" t="n">
        <x:v>1</x:v>
      </x:c>
      <x:c r="AU149" s="21" t="n">
        <x:v>0</x:v>
      </x:c>
      <x:c r="AV149" s="22" t="n">
        <x:f>IF(C149="QB",N149*0.04+O149*4-P149*2+R149*0.1+S149*6,IF(OR(C149="RB",C149="WR",C149="TE"),U149*0.1+V149*6+R149*0.1+S149*6+X149*0.5+Y149*0.1+Z149*6,IF(C149="K",AC149*3+AD149*4+AE149*5+AF149,IF(C149="DST",AG149+AH149*2+AI149*6+AL149,0))))</x:f>
        <x:v>10.581374782608696</x:v>
      </x:c>
      <x:c r="AW149" s="22" t="n">
        <x:f>(AV149+AU149)*G149</x:f>
        <x:v>10.581374782608696</x:v>
      </x:c>
      <x:c r="AX149" s="22" t="n">
        <x:f>MAX(0,AW149*IF(C149="QB",0.68,IF(C149="RB",0.58,IF(C149="WR",0.52,IF(C149="TE",0.50,IF(C149="K",0.55,0.40))))))</x:f>
        <x:v>5.502314886956523</x:v>
      </x:c>
      <x:c r="AY149" s="22" t="n">
        <x:f>AW149*IF(C149="QB",1.32,IF(C149="RB",1.45,IF(C149="WR",1.55,IF(C149="TE",1.60,IF(C149="K",1.45,1.65)))))</x:f>
        <x:v>16.40113091304348</x:v>
      </x:c>
      <x:c r="AZ149" s="12" t="str">
        <x:v>High</x:v>
      </x:c>
      <x:c r="BA149" s="12" t="n">
        <x:v>2</x:v>
      </x:c>
      <x:c r="BB149" s="12" t="n">
        <x:f>COUNTIFS($C$2:$C$344,C149,$AW$2:$AW$344,"&gt;"&amp;AW149,$G$2:$G$344,"&gt;0")+COUNTIFS($C$2:C149,C149,$AW$2:AW149,AW149,$G$2:G149,"&gt;0")</x:f>
        <x:v>16</x:v>
      </x:c>
      <x:c r="BC149" s="12" t="n">
        <x:v>17</x:v>
      </x:c>
      <x:c r="BD149" s="12" t="str">
        <x:f>IF(BB149&lt;BC149,"↑",IF(BB149&gt;BC149,"↓","→"))</x:f>
        <x:v>↑</x:v>
      </x:c>
      <x:c r="BE149" s="23" t="str">
        <x:v>Fantasy Football Brief ROS baseline; official NFL schedule</x:v>
      </x:c>
      <x:c r="BF149" s="23" t="str">
        <x:v>Current role and availability baseline; all adjustment factors shown numerically</x:v>
      </x:c>
      <x:c r="BG149" s="23" t="str">
        <x:v>Material injury, depth-chart, or role change</x:v>
      </x:c>
      <x:c r="BH149" s="24" t="str">
        <x:v>2026-09-23 10:35 CT</x:v>
      </x:c>
    </x:row>
    <x:row r="150">
      <x:c r="A150" s="12" t="str">
        <x:v>Emeka Egbuka</x:v>
      </x:c>
      <x:c r="B150" s="12" t="str">
        <x:v>TB</x:v>
      </x:c>
      <x:c r="C150" s="12" t="str">
        <x:v>WR</x:v>
      </x:c>
      <x:c r="D150" s="12" t="str">
        <x:v>MIN</x:v>
      </x:c>
      <x:c r="E150" s="12" t="str">
        <x:v>Home</x:v>
      </x:c>
      <x:c r="F150" s="12" t="str">
        <x:v>2026-09-27</x:v>
      </x:c>
      <x:c r="G150" s="19" t="n">
        <x:v>1</x:v>
      </x:c>
      <x:c r="H150" s="20" t="str">
        <x:v>ACTIVE</x:v>
      </x:c>
      <x:c r="I150" s="20" t="n">
        <x:v>52</x:v>
      </x:c>
      <x:c r="J150" s="20" t="str">
        <x:v>Routes</x:v>
      </x:c>
      <x:c r="K150" s="20" t="n">
        <x:v>31.748792270531403</x:v>
      </x:c>
      <x:c r="L150" s="21" t="n">
        <x:v>0</x:v>
      </x:c>
      <x:c r="M150" s="21" t="n">
        <x:v>0</x:v>
      </x:c>
      <x:c r="N150" s="21" t="n">
        <x:v>0</x:v>
      </x:c>
      <x:c r="O150" s="21" t="n">
        <x:v>0</x:v>
      </x:c>
      <x:c r="P150" s="21" t="n">
        <x:v>0</x:v>
      </x:c>
      <x:c r="Q150" s="21" t="n">
        <x:v>0.20483091787439617</x:v>
      </x:c>
      <x:c r="R150" s="21" t="n">
        <x:v>2.0274164251207734</x:v>
      </x:c>
      <x:c r="S150" s="21" t="n">
        <x:v>0</x:v>
      </x:c>
      <x:c r="T150" s="21" t="n">
        <x:v>0</x:v>
      </x:c>
      <x:c r="U150" s="21" t="n">
        <x:v>0</x:v>
      </x:c>
      <x:c r="V150" s="21" t="n">
        <x:v>0</x:v>
      </x:c>
      <x:c r="W150" s="21" t="n">
        <x:v>7.1690821256038655</x:v>
      </x:c>
      <x:c r="X150" s="21" t="n">
        <x:v>4.608695652173914</x:v>
      </x:c>
      <x:c r="Y150" s="21" t="n">
        <x:v>58.795076328502425</x:v>
      </x:c>
      <x:c r="Z150" s="21" t="n">
        <x:v>0.3547978743961353</x:v>
      </x:c>
      <x:c r="AA150" s="21" t="n">
        <x:v>31.748792270531403</x:v>
      </x:c>
      <x:c r="AB150" s="21" t="n">
        <x:v>0.78</x:v>
      </x:c>
      <x:c r="AC150" s="21" t="n">
        <x:v>0</x:v>
      </x:c>
      <x:c r="AD150" s="21" t="n">
        <x:v>0</x:v>
      </x:c>
      <x:c r="AE150" s="21" t="n">
        <x:v>0</x:v>
      </x:c>
      <x:c r="AF150" s="21" t="n">
        <x:v>0</x:v>
      </x:c>
      <x:c r="AG150" s="21" t="n">
        <x:v>0</x:v>
      </x:c>
      <x:c r="AH150" s="21" t="n">
        <x:v>0</x:v>
      </x:c>
      <x:c r="AI150" s="21" t="n">
        <x:v>0</x:v>
      </x:c>
      <x:c r="AJ150" s="21" t="n">
        <x:v>0</x:v>
      </x:c>
      <x:c r="AK150" s="21" t="n">
        <x:v>0</x:v>
      </x:c>
      <x:c r="AL150" s="21" t="n">
        <x:v>0</x:v>
      </x:c>
      <x:c r="AM150" s="21" t="n">
        <x:v>1</x:v>
      </x:c>
      <x:c r="AN150" s="21" t="n">
        <x:v>1</x:v>
      </x:c>
      <x:c r="AO150" s="21" t="n">
        <x:v>1</x:v>
      </x:c>
      <x:c r="AP150" s="21" t="n">
        <x:v>1.01</x:v>
      </x:c>
      <x:c r="AQ150" s="21" t="n">
        <x:v>0.98</x:v>
      </x:c>
      <x:c r="AR150" s="21" t="n">
        <x:v>1</x:v>
      </x:c>
      <x:c r="AS150" s="21" t="n">
        <x:v>1</x:v>
      </x:c>
      <x:c r="AT150" s="21" t="n">
        <x:v>1</x:v>
      </x:c>
      <x:c r="AU150" s="21" t="n">
        <x:v>0</x:v>
      </x:c>
      <x:c r="AV150" s="22" t="n">
        <x:f>IF(C150="QB",N150*0.04+O150*4-P150*2+R150*0.1+S150*6,IF(OR(C150="RB",C150="WR",C150="TE"),U150*0.1+V150*6+R150*0.1+S150*6+X150*0.5+Y150*0.1+Z150*6,IF(C150="K",AC150*3+AD150*4+AE150*5+AF150,IF(C150="DST",AG150+AH150*2+AI150*6+AL150,0))))</x:f>
        <x:v>10.515384347826089</x:v>
      </x:c>
      <x:c r="AW150" s="22" t="n">
        <x:f>(AV150+AU150)*G150</x:f>
        <x:v>10.515384347826089</x:v>
      </x:c>
      <x:c r="AX150" s="22" t="n">
        <x:f>MAX(0,AW150*IF(C150="QB",0.68,IF(C150="RB",0.58,IF(C150="WR",0.52,IF(C150="TE",0.50,IF(C150="K",0.55,0.40))))))</x:f>
        <x:v>5.467999860869567</x:v>
      </x:c>
      <x:c r="AY150" s="22" t="n">
        <x:f>AW150*IF(C150="QB",1.32,IF(C150="RB",1.45,IF(C150="WR",1.55,IF(C150="TE",1.60,IF(C150="K",1.45,1.65)))))</x:f>
        <x:v>16.29884573913044</x:v>
      </x:c>
      <x:c r="AZ150" s="12" t="str">
        <x:v>High</x:v>
      </x:c>
      <x:c r="BA150" s="12" t="n">
        <x:v>2</x:v>
      </x:c>
      <x:c r="BB150" s="12" t="n">
        <x:f>COUNTIFS($C$2:$C$344,C150,$AW$2:$AW$344,"&gt;"&amp;AW150,$G$2:$G$344,"&gt;0")+COUNTIFS($C$2:C150,C150,$AW$2:AW150,AW150,$G$2:G150,"&gt;0")</x:f>
        <x:v>17</x:v>
      </x:c>
      <x:c r="BC150" s="12" t="n">
        <x:v>18</x:v>
      </x:c>
      <x:c r="BD150" s="12" t="str">
        <x:f>IF(BB150&lt;BC150,"↑",IF(BB150&gt;BC150,"↓","→"))</x:f>
        <x:v>↑</x:v>
      </x:c>
      <x:c r="BE150" s="23" t="str">
        <x:v>Fantasy Football Brief ROS baseline; official NFL schedule</x:v>
      </x:c>
      <x:c r="BF150" s="23" t="str">
        <x:v>Current role and availability baseline; all adjustment factors shown numerically</x:v>
      </x:c>
      <x:c r="BG150" s="23" t="str">
        <x:v>Material injury, depth-chart, or role change</x:v>
      </x:c>
      <x:c r="BH150" s="24" t="str">
        <x:v>2026-09-23 10:35 CT</x:v>
      </x:c>
    </x:row>
    <x:row r="151">
      <x:c r="A151" s="12" t="str">
        <x:v>Marvin Harrison Jr.</x:v>
      </x:c>
      <x:c r="B151" s="12" t="str">
        <x:v>ARI</x:v>
      </x:c>
      <x:c r="C151" s="12" t="str">
        <x:v>WR</x:v>
      </x:c>
      <x:c r="D151" s="12" t="str">
        <x:v>SF</x:v>
      </x:c>
      <x:c r="E151" s="12" t="str">
        <x:v>Away</x:v>
      </x:c>
      <x:c r="F151" s="12" t="str">
        <x:v>2026-09-27</x:v>
      </x:c>
      <x:c r="G151" s="19" t="n">
        <x:v>1</x:v>
      </x:c>
      <x:c r="H151" s="20" t="str">
        <x:v>ACTIVE</x:v>
      </x:c>
      <x:c r="I151" s="20" t="n">
        <x:v>52</x:v>
      </x:c>
      <x:c r="J151" s="20" t="str">
        <x:v>Routes</x:v>
      </x:c>
      <x:c r="K151" s="20" t="n">
        <x:v>31.748792270531403</x:v>
      </x:c>
      <x:c r="L151" s="21" t="n">
        <x:v>0</x:v>
      </x:c>
      <x:c r="M151" s="21" t="n">
        <x:v>0</x:v>
      </x:c>
      <x:c r="N151" s="21" t="n">
        <x:v>0</x:v>
      </x:c>
      <x:c r="O151" s="21" t="n">
        <x:v>0</x:v>
      </x:c>
      <x:c r="P151" s="21" t="n">
        <x:v>0</x:v>
      </x:c>
      <x:c r="Q151" s="21" t="n">
        <x:v>0.20483091787439617</x:v>
      </x:c>
      <x:c r="R151" s="21" t="n">
        <x:v>1.9254106280193237</x:v>
      </x:c>
      <x:c r="S151" s="21" t="n">
        <x:v>0</x:v>
      </x:c>
      <x:c r="T151" s="21" t="n">
        <x:v>0</x:v>
      </x:c>
      <x:c r="U151" s="21" t="n">
        <x:v>0</x:v>
      </x:c>
      <x:c r="V151" s="21" t="n">
        <x:v>0</x:v>
      </x:c>
      <x:c r="W151" s="21" t="n">
        <x:v>7.1690821256038655</x:v>
      </x:c>
      <x:c r="X151" s="21" t="n">
        <x:v>4.608695652173914</x:v>
      </x:c>
      <x:c r="Y151" s="21" t="n">
        <x:v>55.83690821256039</x:v>
      </x:c>
      <x:c r="Z151" s="21" t="n">
        <x:v>0.33694685990338163</x:v>
      </x:c>
      <x:c r="AA151" s="21" t="n">
        <x:v>31.748792270531403</x:v>
      </x:c>
      <x:c r="AB151" s="21" t="n">
        <x:v>0.78</x:v>
      </x:c>
      <x:c r="AC151" s="21" t="n">
        <x:v>0</x:v>
      </x:c>
      <x:c r="AD151" s="21" t="n">
        <x:v>0</x:v>
      </x:c>
      <x:c r="AE151" s="21" t="n">
        <x:v>0</x:v>
      </x:c>
      <x:c r="AF151" s="21" t="n">
        <x:v>0</x:v>
      </x:c>
      <x:c r="AG151" s="21" t="n">
        <x:v>0</x:v>
      </x:c>
      <x:c r="AH151" s="21" t="n">
        <x:v>0</x:v>
      </x:c>
      <x:c r="AI151" s="21" t="n">
        <x:v>0</x:v>
      </x:c>
      <x:c r="AJ151" s="21" t="n">
        <x:v>0</x:v>
      </x:c>
      <x:c r="AK151" s="21" t="n">
        <x:v>0</x:v>
      </x:c>
      <x:c r="AL151" s="21" t="n">
        <x:v>0</x:v>
      </x:c>
      <x:c r="AM151" s="21" t="n">
        <x:v>1</x:v>
      </x:c>
      <x:c r="AN151" s="21" t="n">
        <x:v>1</x:v>
      </x:c>
      <x:c r="AO151" s="21" t="n">
        <x:v>1</x:v>
      </x:c>
      <x:c r="AP151" s="21" t="n">
        <x:v>1</x:v>
      </x:c>
      <x:c r="AQ151" s="21" t="n">
        <x:v>0.94</x:v>
      </x:c>
      <x:c r="AR151" s="21" t="n">
        <x:v>1</x:v>
      </x:c>
      <x:c r="AS151" s="21" t="n">
        <x:v>1</x:v>
      </x:c>
      <x:c r="AT151" s="21" t="n">
        <x:v>1</x:v>
      </x:c>
      <x:c r="AU151" s="21" t="n">
        <x:v>0</x:v>
      </x:c>
      <x:c r="AV151" s="22" t="n">
        <x:f>IF(C151="QB",N151*0.04+O151*4-P151*2+R151*0.1+S151*6,IF(OR(C151="RB",C151="WR",C151="TE"),U151*0.1+V151*6+R151*0.1+S151*6+X151*0.5+Y151*0.1+Z151*6,IF(C151="K",AC151*3+AD151*4+AE151*5+AF151,IF(C151="DST",AG151+AH151*2+AI151*6+AL151,0))))</x:f>
        <x:v>10.102260869565217</x:v>
      </x:c>
      <x:c r="AW151" s="22" t="n">
        <x:f>(AV151+AU151)*G151</x:f>
        <x:v>10.102260869565217</x:v>
      </x:c>
      <x:c r="AX151" s="22" t="n">
        <x:f>MAX(0,AW151*IF(C151="QB",0.68,IF(C151="RB",0.58,IF(C151="WR",0.52,IF(C151="TE",0.50,IF(C151="K",0.55,0.40))))))</x:f>
        <x:v>5.253175652173913</x:v>
      </x:c>
      <x:c r="AY151" s="22" t="n">
        <x:f>AW151*IF(C151="QB",1.32,IF(C151="RB",1.45,IF(C151="WR",1.55,IF(C151="TE",1.60,IF(C151="K",1.45,1.65)))))</x:f>
        <x:v>15.658504347826087</x:v>
      </x:c>
      <x:c r="AZ151" s="12" t="str">
        <x:v>High</x:v>
      </x:c>
      <x:c r="BA151" s="12" t="n">
        <x:v>2</x:v>
      </x:c>
      <x:c r="BB151" s="12" t="n">
        <x:f>COUNTIFS($C$2:$C$344,C151,$AW$2:$AW$344,"&gt;"&amp;AW151,$G$2:$G$344,"&gt;0")+COUNTIFS($C$2:C151,C151,$AW$2:AW151,AW151,$G$2:G151,"&gt;0")</x:f>
        <x:v>18</x:v>
      </x:c>
      <x:c r="BC151" s="12" t="n">
        <x:v>19</x:v>
      </x:c>
      <x:c r="BD151" s="12" t="str">
        <x:f>IF(BB151&lt;BC151,"↑",IF(BB151&gt;BC151,"↓","→"))</x:f>
        <x:v>↑</x:v>
      </x:c>
      <x:c r="BE151" s="23" t="str">
        <x:v>Fantasy Football Brief ROS baseline; official NFL schedule</x:v>
      </x:c>
      <x:c r="BF151" s="23" t="str">
        <x:v>Current role and availability baseline; all adjustment factors shown numerically</x:v>
      </x:c>
      <x:c r="BG151" s="23" t="str">
        <x:v>Material injury, depth-chart, or role change</x:v>
      </x:c>
      <x:c r="BH151" s="24" t="str">
        <x:v>2026-09-23 10:35 CT</x:v>
      </x:c>
    </x:row>
    <x:row r="152">
      <x:c r="A152" s="12" t="str">
        <x:v>Davante Adams</x:v>
      </x:c>
      <x:c r="B152" s="12" t="str">
        <x:v>LAR</x:v>
      </x:c>
      <x:c r="C152" s="12" t="str">
        <x:v>WR</x:v>
      </x:c>
      <x:c r="D152" s="12" t="str">
        <x:v>DEN</x:v>
      </x:c>
      <x:c r="E152" s="12" t="str">
        <x:v>Away</x:v>
      </x:c>
      <x:c r="F152" s="12" t="str">
        <x:v>2026-09-27</x:v>
      </x:c>
      <x:c r="G152" s="19" t="n">
        <x:v>1</x:v>
      </x:c>
      <x:c r="H152" s="20" t="str">
        <x:v>ACTIVE</x:v>
      </x:c>
      <x:c r="I152" s="20" t="n">
        <x:v>55</x:v>
      </x:c>
      <x:c r="J152" s="20" t="str">
        <x:v>Routes</x:v>
      </x:c>
      <x:c r="K152" s="20" t="n">
        <x:v>32</x:v>
      </x:c>
      <x:c r="L152" s="21" t="n">
        <x:v>0</x:v>
      </x:c>
      <x:c r="M152" s="21" t="n">
        <x:v>0</x:v>
      </x:c>
      <x:c r="N152" s="21" t="n">
        <x:v>0</x:v>
      </x:c>
      <x:c r="O152" s="21" t="n">
        <x:v>0</x:v>
      </x:c>
      <x:c r="P152" s="21" t="n">
        <x:v>0</x:v>
      </x:c>
      <x:c r="Q152" s="21" t="n">
        <x:v>0.20243478260869566</x:v>
      </x:c>
      <x:c r="R152" s="21" t="n">
        <x:v>1.9182720000000004</x:v>
      </x:c>
      <x:c r="S152" s="21" t="n">
        <x:v>0</x:v>
      </x:c>
      <x:c r="T152" s="21" t="n">
        <x:v>0</x:v>
      </x:c>
      <x:c r="U152" s="21" t="n">
        <x:v>0</x:v>
      </x:c>
      <x:c r="V152" s="21" t="n">
        <x:v>0</x:v>
      </x:c>
      <x:c r="W152" s="21" t="n">
        <x:v>8.25</x:v>
      </x:c>
      <x:c r="X152" s="21" t="n">
        <x:v>5.25</x:v>
      </x:c>
      <x:c r="Y152" s="21" t="n">
        <x:v>65</x:v>
      </x:c>
      <x:c r="Z152" s="21" t="n">
        <x:v>0.43</x:v>
      </x:c>
      <x:c r="AA152" s="21" t="n">
        <x:v>32</x:v>
      </x:c>
      <x:c r="AB152" s="21" t="n">
        <x:v>0.8888888888888888</x:v>
      </x:c>
      <x:c r="AC152" s="21" t="n">
        <x:v>0</x:v>
      </x:c>
      <x:c r="AD152" s="21" t="n">
        <x:v>0</x:v>
      </x:c>
      <x:c r="AE152" s="21" t="n">
        <x:v>0</x:v>
      </x:c>
      <x:c r="AF152" s="21" t="n">
        <x:v>0</x:v>
      </x:c>
      <x:c r="AG152" s="21" t="n">
        <x:v>0</x:v>
      </x:c>
      <x:c r="AH152" s="21" t="n">
        <x:v>0</x:v>
      </x:c>
      <x:c r="AI152" s="21" t="n">
        <x:v>0</x:v>
      </x:c>
      <x:c r="AJ152" s="21" t="n">
        <x:v>0</x:v>
      </x:c>
      <x:c r="AK152" s="21" t="n">
        <x:v>0</x:v>
      </x:c>
      <x:c r="AL152" s="21" t="n">
        <x:v>0</x:v>
      </x:c>
      <x:c r="AM152" s="21" t="n">
        <x:v>1</x:v>
      </x:c>
      <x:c r="AN152" s="21" t="n">
        <x:v>1</x:v>
      </x:c>
      <x:c r="AO152" s="21" t="n">
        <x:v>1</x:v>
      </x:c>
      <x:c r="AP152" s="21" t="n">
        <x:v>1.03</x:v>
      </x:c>
      <x:c r="AQ152" s="21" t="n">
        <x:v>0.92</x:v>
      </x:c>
      <x:c r="AR152" s="21" t="n">
        <x:v>1</x:v>
      </x:c>
      <x:c r="AS152" s="21" t="n">
        <x:v>1</x:v>
      </x:c>
      <x:c r="AT152" s="21" t="n">
        <x:v>1</x:v>
      </x:c>
      <x:c r="AU152" s="21" t="n">
        <x:v>0</x:v>
      </x:c>
      <x:c r="AV152" s="22" t="n">
        <x:f>IF(C152="QB",N152*0.04+O152*4-P152*2+R152*0.1+S152*6,IF(OR(C152="RB",C152="WR",C152="TE"),U152*0.1+V152*6+R152*0.1+S152*6+X152*0.5+Y152*0.1+Z152*6,IF(C152="K",AC152*3+AD152*4+AE152*5+AF152,IF(C152="DST",AG152+AH152*2+AI152*6+AL152,0))))</x:f>
        <x:v>11.8968272</x:v>
      </x:c>
      <x:c r="AW152" s="22" t="n">
        <x:f>(AV152+AU152)*G152</x:f>
        <x:v>11.8968272</x:v>
      </x:c>
      <x:c r="AX152" s="22" t="n">
        <x:f>MAX(0,AW152*IF(C152="QB",0.68,IF(C152="RB",0.58,IF(C152="WR",0.52,IF(C152="TE",0.50,IF(C152="K",0.55,0.40))))))</x:f>
        <x:v>6.186350144</x:v>
      </x:c>
      <x:c r="AY152" s="22" t="n">
        <x:f>AW152*IF(C152="QB",1.32,IF(C152="RB",1.45,IF(C152="WR",1.55,IF(C152="TE",1.60,IF(C152="K",1.45,1.65)))))</x:f>
        <x:v>18.440082160000003</x:v>
      </x:c>
      <x:c r="AZ152" s="12" t="str">
        <x:v>Moderate</x:v>
      </x:c>
      <x:c r="BA152" s="12" t="n">
        <x:v>2</x:v>
      </x:c>
      <x:c r="BB152" s="12" t="n">
        <x:f>COUNTIFS($C$2:$C$344,C152,$AW$2:$AW$344,"&gt;"&amp;AW152,$G$2:$G$344,"&gt;0")+COUNTIFS($C$2:C152,C152,$AW$2:AW152,AW152,$G$2:G152,"&gt;0")</x:f>
        <x:v>9</x:v>
      </x:c>
      <x:c r="BC152" s="12" t="n">
        <x:v>20</x:v>
      </x:c>
      <x:c r="BD152" s="12" t="str">
        <x:f>IF(BB152&lt;BC152,"↑",IF(BB152&gt;BC152,"↓","→"))</x:f>
        <x:v>↑</x:v>
      </x:c>
      <x:c r="BE152" s="23" t="str">
        <x:v>https://www.therams.com/team/injury-report/</x:v>
      </x:c>
      <x:c r="BF152" s="23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BG152" s="23" t="str">
        <x:v>Next official practice report and game-status designation</x:v>
      </x:c>
      <x:c r="BH152" s="24" t="str">
        <x:v>2026-09-24 7:40 PM CT</x:v>
      </x:c>
    </x:row>
    <x:row r="153">
      <x:c r="A153" s="12" t="str">
        <x:v>Christian Watson</x:v>
      </x:c>
      <x:c r="B153" s="12" t="str">
        <x:v>GB</x:v>
      </x:c>
      <x:c r="C153" s="12" t="str">
        <x:v>WR</x:v>
      </x:c>
      <x:c r="D153" s="12" t="str">
        <x:v>ATL</x:v>
      </x:c>
      <x:c r="E153" s="12" t="str">
        <x:v>Home</x:v>
      </x:c>
      <x:c r="F153" s="12" t="str">
        <x:v>2026-09-24</x:v>
      </x:c>
      <x:c r="G153" s="19" t="n">
        <x:v>1</x:v>
      </x:c>
      <x:c r="H153" s="20" t="str">
        <x:v>ACTIVE</x:v>
      </x:c>
      <x:c r="I153" s="20" t="n">
        <x:v>53</x:v>
      </x:c>
      <x:c r="J153" s="20" t="str">
        <x:v>Routes</x:v>
      </x:c>
      <x:c r="K153" s="20" t="n">
        <x:v>31</x:v>
      </x:c>
      <x:c r="L153" s="21" t="n">
        <x:v>0</x:v>
      </x:c>
      <x:c r="M153" s="21" t="n">
        <x:v>0</x:v>
      </x:c>
      <x:c r="N153" s="21" t="n">
        <x:v>0</x:v>
      </x:c>
      <x:c r="O153" s="21" t="n">
        <x:v>0</x:v>
      </x:c>
      <x:c r="P153" s="21" t="n">
        <x:v>0</x:v>
      </x:c>
      <x:c r="Q153" s="21" t="n">
        <x:v>0.18937198067632854</x:v>
      </x:c>
      <x:c r="R153" s="21" t="n">
        <x:v>1.9315942028985509</x:v>
      </x:c>
      <x:c r="S153" s="21" t="n">
        <x:v>0</x:v>
      </x:c>
      <x:c r="T153" s="21" t="n">
        <x:v>0</x:v>
      </x:c>
      <x:c r="U153" s="21" t="n">
        <x:v>0</x:v>
      </x:c>
      <x:c r="V153" s="21" t="n">
        <x:v>0</x:v>
      </x:c>
      <x:c r="W153" s="21" t="n">
        <x:v>9</x:v>
      </x:c>
      <x:c r="X153" s="21" t="n">
        <x:v>5.5</x:v>
      </x:c>
      <x:c r="Y153" s="21" t="n">
        <x:v>72</x:v>
      </x:c>
      <x:c r="Z153" s="21" t="n">
        <x:v>0.43</x:v>
      </x:c>
      <x:c r="AA153" s="21" t="n">
        <x:v>31</x:v>
      </x:c>
      <x:c r="AB153" s="21" t="n">
        <x:v>0.9117647058823529</x:v>
      </x:c>
      <x:c r="AC153" s="21" t="n">
        <x:v>0</x:v>
      </x:c>
      <x:c r="AD153" s="21" t="n">
        <x:v>0</x:v>
      </x:c>
      <x:c r="AE153" s="21" t="n">
        <x:v>0</x:v>
      </x:c>
      <x:c r="AF153" s="21" t="n">
        <x:v>0</x:v>
      </x:c>
      <x:c r="AG153" s="21" t="n">
        <x:v>0</x:v>
      </x:c>
      <x:c r="AH153" s="21" t="n">
        <x:v>0</x:v>
      </x:c>
      <x:c r="AI153" s="21" t="n">
        <x:v>0</x:v>
      </x:c>
      <x:c r="AJ153" s="21" t="n">
        <x:v>0</x:v>
      </x:c>
      <x:c r="AK153" s="21" t="n">
        <x:v>0</x:v>
      </x:c>
      <x:c r="AL153" s="21" t="n">
        <x:v>0</x:v>
      </x:c>
      <x:c r="AM153" s="21" t="n">
        <x:v>1</x:v>
      </x:c>
      <x:c r="AN153" s="21" t="n">
        <x:v>1</x:v>
      </x:c>
      <x:c r="AO153" s="21" t="n">
        <x:v>1</x:v>
      </x:c>
      <x:c r="AP153" s="21" t="n">
        <x:v>1.02</x:v>
      </x:c>
      <x:c r="AQ153" s="21" t="n">
        <x:v>1</x:v>
      </x:c>
      <x:c r="AR153" s="21" t="n">
        <x:v>1</x:v>
      </x:c>
      <x:c r="AS153" s="21" t="n">
        <x:v>1</x:v>
      </x:c>
      <x:c r="AT153" s="21" t="n">
        <x:v>1</x:v>
      </x:c>
      <x:c r="AU153" s="21" t="n">
        <x:v>0</x:v>
      </x:c>
      <x:c r="AV153" s="22" t="n">
        <x:f>IF(C153="QB",N153*0.04+O153*4-P153*2+R153*0.1+S153*6,IF(OR(C153="RB",C153="WR",C153="TE"),U153*0.1+V153*6+R153*0.1+S153*6+X153*0.5+Y153*0.1+Z153*6,IF(C153="K",AC153*3+AD153*4+AE153*5+AF153,IF(C153="DST",AG153+AH153*2+AI153*6+AL153,0))))</x:f>
        <x:v>12.723159420289855</x:v>
      </x:c>
      <x:c r="AW153" s="22" t="n">
        <x:f>(AV153+AU153)*G153</x:f>
        <x:v>12.723159420289855</x:v>
      </x:c>
      <x:c r="AX153" s="22" t="n">
        <x:f>MAX(0,AW153*IF(C153="QB",0.68,IF(C153="RB",0.58,IF(C153="WR",0.52,IF(C153="TE",0.50,IF(C153="K",0.55,0.40))))))</x:f>
        <x:v>6.616042898550725</x:v>
      </x:c>
      <x:c r="AY153" s="22" t="n">
        <x:f>AW153*IF(C153="QB",1.32,IF(C153="RB",1.45,IF(C153="WR",1.55,IF(C153="TE",1.60,IF(C153="K",1.45,1.65)))))</x:f>
        <x:v>19.720897101449275</x:v>
      </x:c>
      <x:c r="AZ153" s="12" t="str">
        <x:v>Moderate</x:v>
      </x:c>
      <x:c r="BA153" s="12" t="n">
        <x:v>2</x:v>
      </x:c>
      <x:c r="BB153" s="12" t="n">
        <x:f>COUNTIFS($C$2:$C$344,C153,$AW$2:$AW$344,"&gt;"&amp;AW153,$G$2:$G$344,"&gt;0")+COUNTIFS($C$2:C153,C153,$AW$2:AW153,AW153,$G$2:G153,"&gt;0")</x:f>
        <x:v>5</x:v>
      </x:c>
      <x:c r="BC153" s="12" t="n">
        <x:v>11</x:v>
      </x:c>
      <x:c r="BD153" s="12" t="str">
        <x:f>IF(BB153&lt;BC153,"↑",IF(BB153&gt;BC153,"↓","→"))</x:f>
        <x:v>↑</x:v>
      </x:c>
      <x:c r="BE153" s="23" t="str">
        <x:v>https://static.clubs.nfl.com/image/upload/packers/zu3fdftopjkj8hkcwckc</x:v>
      </x:c>
      <x:c r="BF153" s="23" t="str">
        <x:v>Corrected pregame workload model; no Week 3 results used. Week 2 gamebook: Watson 11 targets, Golden 6; forecast routes capped by 34 dropbacks. Team stat budget replaces additive route transfer. Lead target projection; 8–11 target range; 5.5 catches,72 yards,0.43 TD. Red-zone share 32%, two-minute route participation 90–100%.</x:v>
      </x:c>
      <x:c r="BG153" s="23" t="str">
        <x:v>Next official practice report and game-status designation</x:v>
      </x:c>
      <x:c r="BH153" s="24" t="str">
        <x:v>2026-09-24 7:40 PM CT</x:v>
      </x:c>
    </x:row>
    <x:row r="154">
      <x:c r="A154" s="12" t="str">
        <x:v>Tetairoa McMillan</x:v>
      </x:c>
      <x:c r="B154" s="12" t="str">
        <x:v>CAR</x:v>
      </x:c>
      <x:c r="C154" s="12" t="str">
        <x:v>WR</x:v>
      </x:c>
      <x:c r="D154" s="12" t="str">
        <x:v>CLE</x:v>
      </x:c>
      <x:c r="E154" s="12" t="str">
        <x:v>Away</x:v>
      </x:c>
      <x:c r="F154" s="12" t="str">
        <x:v>2026-09-27</x:v>
      </x:c>
      <x:c r="G154" s="19" t="n">
        <x:v>1</x:v>
      </x:c>
      <x:c r="H154" s="20" t="str">
        <x:v>ACTIVE</x:v>
      </x:c>
      <x:c r="I154" s="20" t="n">
        <x:v>52</x:v>
      </x:c>
      <x:c r="J154" s="20" t="str">
        <x:v>Routes</x:v>
      </x:c>
      <x:c r="K154" s="20" t="n">
        <x:v>31.14975845410628</x:v>
      </x:c>
      <x:c r="L154" s="21" t="n">
        <x:v>0</x:v>
      </x:c>
      <x:c r="M154" s="21" t="n">
        <x:v>0</x:v>
      </x:c>
      <x:c r="N154" s="21" t="n">
        <x:v>0</x:v>
      </x:c>
      <x:c r="O154" s="21" t="n">
        <x:v>0</x:v>
      </x:c>
      <x:c r="P154" s="21" t="n">
        <x:v>0</x:v>
      </x:c>
      <x:c r="Q154" s="21" t="n">
        <x:v>0.20096618357487925</x:v>
      </x:c>
      <x:c r="R154" s="21" t="n">
        <x:v>1.8709951690821256</x:v>
      </x:c>
      <x:c r="S154" s="21" t="n">
        <x:v>0</x:v>
      </x:c>
      <x:c r="T154" s="21" t="n">
        <x:v>0</x:v>
      </x:c>
      <x:c r="U154" s="21" t="n">
        <x:v>0</x:v>
      </x:c>
      <x:c r="V154" s="21" t="n">
        <x:v>0</x:v>
      </x:c>
      <x:c r="W154" s="21" t="n">
        <x:v>7.033816425120773</x:v>
      </x:c>
      <x:c r="X154" s="21" t="n">
        <x:v>4.521739130434783</x:v>
      </x:c>
      <x:c r="Y154" s="21" t="n">
        <x:v>54.25885990338164</x:v>
      </x:c>
      <x:c r="Z154" s="21" t="n">
        <x:v>0.3274241545893719</x:v>
      </x:c>
      <x:c r="AA154" s="21" t="n">
        <x:v>31.14975845410628</x:v>
      </x:c>
      <x:c r="AB154" s="21" t="n">
        <x:v>0.78</x:v>
      </x:c>
      <x:c r="AC154" s="21" t="n">
        <x:v>0</x:v>
      </x:c>
      <x:c r="AD154" s="21" t="n">
        <x:v>0</x:v>
      </x:c>
      <x:c r="AE154" s="21" t="n">
        <x:v>0</x:v>
      </x:c>
      <x:c r="AF154" s="21" t="n">
        <x:v>0</x:v>
      </x:c>
      <x:c r="AG154" s="21" t="n">
        <x:v>0</x:v>
      </x:c>
      <x:c r="AH154" s="21" t="n">
        <x:v>0</x:v>
      </x:c>
      <x:c r="AI154" s="21" t="n">
        <x:v>0</x:v>
      </x:c>
      <x:c r="AJ154" s="21" t="n">
        <x:v>0</x:v>
      </x:c>
      <x:c r="AK154" s="21" t="n">
        <x:v>0</x:v>
      </x:c>
      <x:c r="AL154" s="21" t="n">
        <x:v>0</x:v>
      </x:c>
      <x:c r="AM154" s="21" t="n">
        <x:v>1</x:v>
      </x:c>
      <x:c r="AN154" s="21" t="n">
        <x:v>1</x:v>
      </x:c>
      <x:c r="AO154" s="21" t="n">
        <x:v>1</x:v>
      </x:c>
      <x:c r="AP154" s="21" t="n">
        <x:v>0.98</x:v>
      </x:c>
      <x:c r="AQ154" s="21" t="n">
        <x:v>0.95</x:v>
      </x:c>
      <x:c r="AR154" s="21" t="n">
        <x:v>1</x:v>
      </x:c>
      <x:c r="AS154" s="21" t="n">
        <x:v>1</x:v>
      </x:c>
      <x:c r="AT154" s="21" t="n">
        <x:v>1</x:v>
      </x:c>
      <x:c r="AU154" s="21" t="n">
        <x:v>0</x:v>
      </x:c>
      <x:c r="AV154" s="22" t="n">
        <x:f>IF(C154="QB",N154*0.04+O154*4-P154*2+R154*0.1+S154*6,IF(OR(C154="RB",C154="WR",C154="TE"),U154*0.1+V154*6+R154*0.1+S154*6+X154*0.5+Y154*0.1+Z154*6,IF(C154="K",AC154*3+AD154*4+AE154*5+AF154,IF(C154="DST",AG154+AH154*2+AI154*6+AL154,0))))</x:f>
        <x:v>9.8384</x:v>
      </x:c>
      <x:c r="AW154" s="22" t="n">
        <x:f>(AV154+AU154)*G154</x:f>
        <x:v>9.8384</x:v>
      </x:c>
      <x:c r="AX154" s="22" t="n">
        <x:f>MAX(0,AW154*IF(C154="QB",0.68,IF(C154="RB",0.58,IF(C154="WR",0.52,IF(C154="TE",0.50,IF(C154="K",0.55,0.40))))))</x:f>
        <x:v>5.1159680000000005</x:v>
      </x:c>
      <x:c r="AY154" s="22" t="n">
        <x:f>AW154*IF(C154="QB",1.32,IF(C154="RB",1.45,IF(C154="WR",1.55,IF(C154="TE",1.60,IF(C154="K",1.45,1.65)))))</x:f>
        <x:v>15.24952</x:v>
      </x:c>
      <x:c r="AZ154" s="12" t="str">
        <x:v>High</x:v>
      </x:c>
      <x:c r="BA154" s="12" t="n">
        <x:v>2</x:v>
      </x:c>
      <x:c r="BB154" s="12" t="n">
        <x:f>COUNTIFS($C$2:$C$344,C154,$AW$2:$AW$344,"&gt;"&amp;AW154,$G$2:$G$344,"&gt;0")+COUNTIFS($C$2:C154,C154,$AW$2:AW154,AW154,$G$2:G154,"&gt;0")</x:f>
        <x:v>20</x:v>
      </x:c>
      <x:c r="BC154" s="12" t="n">
        <x:v>21</x:v>
      </x:c>
      <x:c r="BD154" s="12" t="str">
        <x:f>IF(BB154&lt;BC154,"↑",IF(BB154&gt;BC154,"↓","→"))</x:f>
        <x:v>↑</x:v>
      </x:c>
      <x:c r="BE154" s="23" t="str">
        <x:v>Fantasy Football Brief ROS baseline; official NFL schedule</x:v>
      </x:c>
      <x:c r="BF154" s="23" t="str">
        <x:v>Current role and availability baseline; all adjustment factors shown numerically</x:v>
      </x:c>
      <x:c r="BG154" s="23" t="str">
        <x:v>Material injury, depth-chart, or role change</x:v>
      </x:c>
      <x:c r="BH154" s="24" t="str">
        <x:v>2026-09-23 10:35 CT</x:v>
      </x:c>
    </x:row>
    <x:row r="155">
      <x:c r="A155" s="12" t="str">
        <x:v>Malik Nabers</x:v>
      </x:c>
      <x:c r="B155" s="12" t="str">
        <x:v>NYG</x:v>
      </x:c>
      <x:c r="C155" s="12" t="str">
        <x:v>WR</x:v>
      </x:c>
      <x:c r="D155" s="12" t="str">
        <x:v>TEN</x:v>
      </x:c>
      <x:c r="E155" s="12" t="str">
        <x:v>Home</x:v>
      </x:c>
      <x:c r="F155" s="12" t="str">
        <x:v>2026-09-27</x:v>
      </x:c>
      <x:c r="G155" s="19" t="n">
        <x:v>1</x:v>
      </x:c>
      <x:c r="H155" s="20" t="str">
        <x:v>ACTIVE</x:v>
      </x:c>
      <x:c r="I155" s="20" t="n">
        <x:v>52</x:v>
      </x:c>
      <x:c r="J155" s="20" t="str">
        <x:v>Routes</x:v>
      </x:c>
      <x:c r="K155" s="20" t="n">
        <x:v>29.35265700483092</x:v>
      </x:c>
      <x:c r="L155" s="21" t="n">
        <x:v>0</x:v>
      </x:c>
      <x:c r="M155" s="21" t="n">
        <x:v>0</x:v>
      </x:c>
      <x:c r="N155" s="21" t="n">
        <x:v>0</x:v>
      </x:c>
      <x:c r="O155" s="21" t="n">
        <x:v>0</x:v>
      </x:c>
      <x:c r="P155" s="21" t="n">
        <x:v>0</x:v>
      </x:c>
      <x:c r="Q155" s="21" t="n">
        <x:v>0.18937198067632854</x:v>
      </x:c>
      <x:c r="R155" s="21" t="n">
        <x:v>1.8543304347826088</x:v>
      </x:c>
      <x:c r="S155" s="21" t="n">
        <x:v>0</x:v>
      </x:c>
      <x:c r="T155" s="21" t="n">
        <x:v>0</x:v>
      </x:c>
      <x:c r="U155" s="21" t="n">
        <x:v>0</x:v>
      </x:c>
      <x:c r="V155" s="21" t="n">
        <x:v>0</x:v>
      </x:c>
      <x:c r="W155" s="21" t="n">
        <x:v>6.628019323671499</x:v>
      </x:c>
      <x:c r="X155" s="21" t="n">
        <x:v>4.047826086956522</x:v>
      </x:c>
      <x:c r="Y155" s="21" t="n">
        <x:v>48.39802434782609</x:v>
      </x:c>
      <x:c r="Z155" s="21" t="n">
        <x:v>0.2758316521739131</x:v>
      </x:c>
      <x:c r="AA155" s="21" t="n">
        <x:v>29.35265700483092</x:v>
      </x:c>
      <x:c r="AB155" s="21" t="n">
        <x:v>0.78</x:v>
      </x:c>
      <x:c r="AC155" s="21" t="n">
        <x:v>0</x:v>
      </x:c>
      <x:c r="AD155" s="21" t="n">
        <x:v>0</x:v>
      </x:c>
      <x:c r="AE155" s="21" t="n">
        <x:v>0</x:v>
      </x:c>
      <x:c r="AF155" s="21" t="n">
        <x:v>0</x:v>
      </x:c>
      <x:c r="AG155" s="21" t="n">
        <x:v>0</x:v>
      </x:c>
      <x:c r="AH155" s="21" t="n">
        <x:v>0</x:v>
      </x:c>
      <x:c r="AI155" s="21" t="n">
        <x:v>0</x:v>
      </x:c>
      <x:c r="AJ155" s="21" t="n">
        <x:v>0</x:v>
      </x:c>
      <x:c r="AK155" s="21" t="n">
        <x:v>0</x:v>
      </x:c>
      <x:c r="AL155" s="21" t="n">
        <x:v>0</x:v>
      </x:c>
      <x:c r="AM155" s="21" t="n">
        <x:v>1</x:v>
      </x:c>
      <x:c r="AN155" s="21" t="n">
        <x:v>1</x:v>
      </x:c>
      <x:c r="AO155" s="21" t="n">
        <x:v>1</x:v>
      </x:c>
      <x:c r="AP155" s="21" t="n">
        <x:v>0.96</x:v>
      </x:c>
      <x:c r="AQ155" s="21" t="n">
        <x:v>1.02</x:v>
      </x:c>
      <x:c r="AR155" s="21" t="n">
        <x:v>1</x:v>
      </x:c>
      <x:c r="AS155" s="21" t="n">
        <x:v>1</x:v>
      </x:c>
      <x:c r="AT155" s="21" t="n">
        <x:v>1</x:v>
      </x:c>
      <x:c r="AU155" s="21" t="n">
        <x:v>0</x:v>
      </x:c>
      <x:c r="AV155" s="22" t="n">
        <x:f>IF(C155="QB",N155*0.04+O155*4-P155*2+R155*0.1+S155*6,IF(OR(C155="RB",C155="WR",C155="TE"),U155*0.1+V155*6+R155*0.1+S155*6+X155*0.5+Y155*0.1+Z155*6,IF(C155="K",AC155*3+AD155*4+AE155*5+AF155,IF(C155="DST",AG155+AH155*2+AI155*6+AL155,0))))</x:f>
        <x:v>8.70413843478261</x:v>
      </x:c>
      <x:c r="AW155" s="22" t="n">
        <x:f>(AV155+AU155)*G155</x:f>
        <x:v>8.70413843478261</x:v>
      </x:c>
      <x:c r="AX155" s="22" t="n">
        <x:f>MAX(0,AW155*IF(C155="QB",0.68,IF(C155="RB",0.58,IF(C155="WR",0.52,IF(C155="TE",0.50,IF(C155="K",0.55,0.40))))))</x:f>
        <x:v>4.5261519860869575</x:v>
      </x:c>
      <x:c r="AY155" s="22" t="n">
        <x:f>AW155*IF(C155="QB",1.32,IF(C155="RB",1.45,IF(C155="WR",1.55,IF(C155="TE",1.60,IF(C155="K",1.45,1.65)))))</x:f>
        <x:v>13.491414573913046</x:v>
      </x:c>
      <x:c r="AZ155" s="12" t="str">
        <x:v>Moderate</x:v>
      </x:c>
      <x:c r="BA155" s="12" t="n">
        <x:v>2</x:v>
      </x:c>
      <x:c r="BB155" s="12" t="n">
        <x:f>COUNTIFS($C$2:$C$344,C155,$AW$2:$AW$344,"&gt;"&amp;AW155,$G$2:$G$344,"&gt;0")+COUNTIFS($C$2:C155,C155,$AW$2:AW155,AW155,$G$2:G155,"&gt;0")</x:f>
        <x:v>29</x:v>
      </x:c>
      <x:c r="BC155" s="12" t="n">
        <x:v>22</x:v>
      </x:c>
      <x:c r="BD155" s="12" t="str">
        <x:f>IF(BB155&lt;BC155,"↑",IF(BB155&gt;BC155,"↓","→"))</x:f>
        <x:v>↓</x:v>
      </x:c>
      <x:c r="BE155" s="23" t="str">
        <x:v>https://www.giants.com/news/jaxson-dart-to-miss-rest-of-regular-season-jameis-winston-to-start-quarterback-injury-john-harbaugh</x:v>
      </x:c>
      <x:c r="BF155" s="23" t="str">
        <x:v>Winston efficiency revision: receiving catches x0.95,yards x0.90,TD x0.85; targets/carries retained. More uncertain accuracy and scoring reduce receiver production; unranked residual explicitly retained in team budget.</x:v>
      </x:c>
      <x:c r="BG155" s="23" t="str">
        <x:v>Next official practice report and game-status designation</x:v>
      </x:c>
      <x:c r="BH155" s="24" t="str">
        <x:v>2026-09-24 7:40 PM CT</x:v>
      </x:c>
    </x:row>
    <x:row r="156">
      <x:c r="A156" s="12" t="str">
        <x:v>Luther Burden III</x:v>
      </x:c>
      <x:c r="B156" s="12" t="str">
        <x:v>CHI</x:v>
      </x:c>
      <x:c r="C156" s="12" t="str">
        <x:v>WR</x:v>
      </x:c>
      <x:c r="D156" s="12" t="str">
        <x:v>PHI</x:v>
      </x:c>
      <x:c r="E156" s="12" t="str">
        <x:v>Home</x:v>
      </x:c>
      <x:c r="F156" s="12" t="str">
        <x:v>2026-09-28</x:v>
      </x:c>
      <x:c r="G156" s="19" t="n">
        <x:v>1</x:v>
      </x:c>
      <x:c r="H156" s="20" t="str">
        <x:v>ACTIVE</x:v>
      </x:c>
      <x:c r="I156" s="20" t="n">
        <x:v>47</x:v>
      </x:c>
      <x:c r="J156" s="20" t="str">
        <x:v>Routes</x:v>
      </x:c>
      <x:c r="K156" s="20" t="n">
        <x:v>27</x:v>
      </x:c>
      <x:c r="L156" s="21" t="n">
        <x:v>0</x:v>
      </x:c>
      <x:c r="M156" s="21" t="n">
        <x:v>0</x:v>
      </x:c>
      <x:c r="N156" s="21" t="n">
        <x:v>0</x:v>
      </x:c>
      <x:c r="O156" s="21" t="n">
        <x:v>0</x:v>
      </x:c>
      <x:c r="P156" s="21" t="n">
        <x:v>0</x:v>
      </x:c>
      <x:c r="Q156" s="21" t="n">
        <x:v>0.20096618357487925</x:v>
      </x:c>
      <x:c r="R156" s="21" t="n">
        <x:v>1.81351884057971</x:v>
      </x:c>
      <x:c r="S156" s="21" t="n">
        <x:v>0</x:v>
      </x:c>
      <x:c r="T156" s="21" t="n">
        <x:v>0</x:v>
      </x:c>
      <x:c r="U156" s="21" t="n">
        <x:v>0</x:v>
      </x:c>
      <x:c r="V156" s="21" t="n">
        <x:v>0</x:v>
      </x:c>
      <x:c r="W156" s="21" t="n">
        <x:v>6</x:v>
      </x:c>
      <x:c r="X156" s="21" t="n">
        <x:v>3.9</x:v>
      </x:c>
      <x:c r="Y156" s="21" t="n">
        <x:v>40</x:v>
      </x:c>
      <x:c r="Z156" s="21" t="n">
        <x:v>0.2</x:v>
      </x:c>
      <x:c r="AA156" s="21" t="n">
        <x:v>27</x:v>
      </x:c>
      <x:c r="AB156" s="21" t="n">
        <x:v>0.7941176470588235</x:v>
      </x:c>
      <x:c r="AC156" s="21" t="n">
        <x:v>0</x:v>
      </x:c>
      <x:c r="AD156" s="21" t="n">
        <x:v>0</x:v>
      </x:c>
      <x:c r="AE156" s="21" t="n">
        <x:v>0</x:v>
      </x:c>
      <x:c r="AF156" s="21" t="n">
        <x:v>0</x:v>
      </x:c>
      <x:c r="AG156" s="21" t="n">
        <x:v>0</x:v>
      </x:c>
      <x:c r="AH156" s="21" t="n">
        <x:v>0</x:v>
      </x:c>
      <x:c r="AI156" s="21" t="n">
        <x:v>0</x:v>
      </x:c>
      <x:c r="AJ156" s="21" t="n">
        <x:v>0</x:v>
      </x:c>
      <x:c r="AK156" s="21" t="n">
        <x:v>0</x:v>
      </x:c>
      <x:c r="AL156" s="21" t="n">
        <x:v>0</x:v>
      </x:c>
      <x:c r="AM156" s="21" t="n">
        <x:v>1</x:v>
      </x:c>
      <x:c r="AN156" s="21" t="n">
        <x:v>1</x:v>
      </x:c>
      <x:c r="AO156" s="21" t="n">
        <x:v>1</x:v>
      </x:c>
      <x:c r="AP156" s="21" t="n">
        <x:v>0.96</x:v>
      </x:c>
      <x:c r="AQ156" s="21" t="n">
        <x:v>0.94</x:v>
      </x:c>
      <x:c r="AR156" s="21" t="n">
        <x:v>1</x:v>
      </x:c>
      <x:c r="AS156" s="21" t="n">
        <x:v>1</x:v>
      </x:c>
      <x:c r="AT156" s="21" t="n">
        <x:v>1</x:v>
      </x:c>
      <x:c r="AU156" s="21" t="n">
        <x:v>0</x:v>
      </x:c>
      <x:c r="AV156" s="22" t="n">
        <x:f>IF(C156="QB",N156*0.04+O156*4-P156*2+R156*0.1+S156*6,IF(OR(C156="RB",C156="WR",C156="TE"),U156*0.1+V156*6+R156*0.1+S156*6+X156*0.5+Y156*0.1+Z156*6,IF(C156="K",AC156*3+AD156*4+AE156*5+AF156,IF(C156="DST",AG156+AH156*2+AI156*6+AL156,0))))</x:f>
        <x:v>7.331351884057971</x:v>
      </x:c>
      <x:c r="AW156" s="22" t="n">
        <x:f>(AV156+AU156)*G156</x:f>
        <x:v>7.331351884057971</x:v>
      </x:c>
      <x:c r="AX156" s="22" t="n">
        <x:f>MAX(0,AW156*IF(C156="QB",0.68,IF(C156="RB",0.58,IF(C156="WR",0.52,IF(C156="TE",0.50,IF(C156="K",0.55,0.40))))))</x:f>
        <x:v>3.812302979710145</x:v>
      </x:c>
      <x:c r="AY156" s="22" t="n">
        <x:f>AW156*IF(C156="QB",1.32,IF(C156="RB",1.45,IF(C156="WR",1.55,IF(C156="TE",1.60,IF(C156="K",1.45,1.65)))))</x:f>
        <x:v>11.363595420289855</x:v>
      </x:c>
      <x:c r="AZ156" s="12" t="str">
        <x:v>Moderate</x:v>
      </x:c>
      <x:c r="BA156" s="12" t="n">
        <x:v>2</x:v>
      </x:c>
      <x:c r="BB156" s="12" t="n">
        <x:f>COUNTIFS($C$2:$C$344,C156,$AW$2:$AW$344,"&gt;"&amp;AW156,$G$2:$G$344,"&gt;0")+COUNTIFS($C$2:C156,C156,$AW$2:AW156,AW156,$G$2:G156,"&gt;0")</x:f>
        <x:v>37</x:v>
      </x:c>
      <x:c r="BC156" s="12" t="n">
        <x:v>23</x:v>
      </x:c>
      <x:c r="BD156" s="12" t="str">
        <x:f>IF(BB156&lt;BC156,"↑",IF(BB156&gt;BC156,"↓","→"))</x:f>
        <x:v>↓</x:v>
      </x:c>
      <x:c r="BE156" s="23" t="str">
        <x:v>https://www.chicagobears.com/team/injury-report/</x:v>
      </x:c>
      <x:c r="BF156" s="23" t="str">
        <x:v>Thursday official report: Williams and Bagent both DNP; Keenum contingency. Editorial mixed-QB team envelope30attempts,18completions,190yards,1.0TD. No permanent ROS downgrade. Shorter-area volume can survive but lower scoring ceiling;5–8 targets. Hold; deep Flex only.</x:v>
      </x:c>
      <x:c r="BG156" s="23" t="str">
        <x:v>Next official practice report and game-status designation</x:v>
      </x:c>
      <x:c r="BH156" s="24" t="str">
        <x:v>2026-09-24 7:40 PM CT</x:v>
      </x:c>
    </x:row>
    <x:row r="157">
      <x:c r="A157" s="12" t="str">
        <x:v>Puka Nacua</x:v>
      </x:c>
      <x:c r="B157" s="12" t="str">
        <x:v>LAR</x:v>
      </x:c>
      <x:c r="C157" s="12" t="str">
        <x:v>WR</x:v>
      </x:c>
      <x:c r="D157" s="12" t="str">
        <x:v>DEN</x:v>
      </x:c>
      <x:c r="E157" s="12" t="str">
        <x:v>Away</x:v>
      </x:c>
      <x:c r="F157" s="12" t="str">
        <x:v>2026-09-27</x:v>
      </x:c>
      <x:c r="G157" s="19" t="n">
        <x:v>0.25</x:v>
      </x:c>
      <x:c r="H157" s="20" t="str">
        <x:v>DNP / STATUS PENDING</x:v>
      </x:c>
      <x:c r="I157" s="20" t="n">
        <x:v>49.4</x:v>
      </x:c>
      <x:c r="J157" s="20" t="str">
        <x:v>Routes</x:v>
      </x:c>
      <x:c r="K157" s="20" t="n">
        <x:v>31</x:v>
      </x:c>
      <x:c r="L157" s="21" t="n">
        <x:v>0</x:v>
      </x:c>
      <x:c r="M157" s="21" t="n">
        <x:v>0</x:v>
      </x:c>
      <x:c r="N157" s="21" t="n">
        <x:v>0</x:v>
      </x:c>
      <x:c r="O157" s="21" t="n">
        <x:v>0</x:v>
      </x:c>
      <x:c r="P157" s="21" t="n">
        <x:v>0</x:v>
      </x:c>
      <x:c r="Q157" s="21" t="n">
        <x:v>0.3065700483091787</x:v>
      </x:c>
      <x:c r="R157" s="21" t="n">
        <x:v>2.9050577777777784</x:v>
      </x:c>
      <x:c r="S157" s="21" t="n">
        <x:v>0</x:v>
      </x:c>
      <x:c r="T157" s="21" t="n">
        <x:v>0</x:v>
      </x:c>
      <x:c r="U157" s="21" t="n">
        <x:v>0</x:v>
      </x:c>
      <x:c r="V157" s="21" t="n">
        <x:v>0</x:v>
      </x:c>
      <x:c r="W157" s="21" t="n">
        <x:v>10.729951690821256</x:v>
      </x:c>
      <x:c r="X157" s="21" t="n">
        <x:v>6.897826086956521</x:v>
      </x:c>
      <x:c r="Y157" s="21" t="n">
        <x:v>84.24667555555557</x:v>
      </x:c>
      <x:c r="Z157" s="21" t="n">
        <x:v>0.5083851111111112</x:v>
      </x:c>
      <x:c r="AA157" s="21" t="n">
        <x:v>31</x:v>
      </x:c>
      <x:c r="AB157" s="21" t="n">
        <x:v>0.8611111111111112</x:v>
      </x:c>
      <x:c r="AC157" s="21" t="n">
        <x:v>0</x:v>
      </x:c>
      <x:c r="AD157" s="21" t="n">
        <x:v>0</x:v>
      </x:c>
      <x:c r="AE157" s="21" t="n">
        <x:v>0</x:v>
      </x:c>
      <x:c r="AF157" s="21" t="n">
        <x:v>0</x:v>
      </x:c>
      <x:c r="AG157" s="21" t="n">
        <x:v>0</x:v>
      </x:c>
      <x:c r="AH157" s="21" t="n">
        <x:v>0</x:v>
      </x:c>
      <x:c r="AI157" s="21" t="n">
        <x:v>0</x:v>
      </x:c>
      <x:c r="AJ157" s="21" t="n">
        <x:v>0</x:v>
      </x:c>
      <x:c r="AK157" s="21" t="n">
        <x:v>0</x:v>
      </x:c>
      <x:c r="AL157" s="21" t="n">
        <x:v>0</x:v>
      </x:c>
      <x:c r="AM157" s="21" t="n">
        <x:v>0.25</x:v>
      </x:c>
      <x:c r="AN157" s="21" t="n">
        <x:v>0.95</x:v>
      </x:c>
      <x:c r="AO157" s="21" t="n">
        <x:v>1</x:v>
      </x:c>
      <x:c r="AP157" s="21" t="n">
        <x:v>1.03</x:v>
      </x:c>
      <x:c r="AQ157" s="21" t="n">
        <x:v>0.92</x:v>
      </x:c>
      <x:c r="AR157" s="21" t="n">
        <x:v>1</x:v>
      </x:c>
      <x:c r="AS157" s="21" t="n">
        <x:v>1</x:v>
      </x:c>
      <x:c r="AT157" s="21" t="n">
        <x:v>1</x:v>
      </x:c>
      <x:c r="AU157" s="21" t="n">
        <x:v>0</x:v>
      </x:c>
      <x:c r="AV157" s="22" t="n">
        <x:f>IF(C157="QB",N157*0.04+O157*4-P157*2+R157*0.1+S157*6,IF(OR(C157="RB",C157="WR",C157="TE"),U157*0.1+V157*6+R157*0.1+S157*6+X157*0.5+Y157*0.1+Z157*6,IF(C157="K",AC157*3+AD157*4+AE157*5+AF157,IF(C157="DST",AG157+AH157*2+AI157*6+AL157,0))))</x:f>
        <x:v>15.214397043478261</x:v>
      </x:c>
      <x:c r="AW157" s="22" t="n">
        <x:f>(AV157+AU157)*G157</x:f>
        <x:v>3.8035992608695652</x:v>
      </x:c>
      <x:c r="AX157" s="22" t="n">
        <x:f>MAX(0,AW157*IF(C157="QB",0.68,IF(C157="RB",0.58,IF(C157="WR",0.52,IF(C157="TE",0.50,IF(C157="K",0.55,0.40))))))</x:f>
        <x:v>1.977871615652174</x:v>
      </x:c>
      <x:c r="AY157" s="22" t="n">
        <x:f>AW157*IF(C157="QB",1.32,IF(C157="RB",1.45,IF(C157="WR",1.55,IF(C157="TE",1.60,IF(C157="K",1.45,1.65)))))</x:f>
        <x:v>5.895578854347827</x:v>
      </x:c>
      <x:c r="AZ157" s="12" t="str">
        <x:v>Low</x:v>
      </x:c>
      <x:c r="BA157" s="12" t="n">
        <x:v>2</x:v>
      </x:c>
      <x:c r="BB157" s="12" t="n">
        <x:f>COUNTIFS($C$2:$C$344,C157,$AW$2:$AW$344,"&gt;"&amp;AW157,$G$2:$G$344,"&gt;0")+COUNTIFS($C$2:C157,C157,$AW$2:AW157,AW157,$G$2:G157,"&gt;0")</x:f>
        <x:v>80</x:v>
      </x:c>
      <x:c r="BC157" s="12" t="n">
        <x:v>24</x:v>
      </x:c>
      <x:c r="BD157" s="12" t="str">
        <x:f>IF(BB157&lt;BC157,"↑",IF(BB157&gt;BC157,"↓","→"))</x:f>
        <x:v>↓</x:v>
      </x:c>
      <x:c r="BE157" s="23" t="str">
        <x:v>https://www.therams.com/team/injury-report/</x:v>
      </x:c>
      <x:c r="BF157" s="23" t="str">
        <x:v>TwoDNPs; official Thursday report has no final game designation. ACE planning assumption25% plays,not medical probability. Prepare to sit and secure healthy replacement. Hold; IR only if platform eligibility permits. Conditional receiving line retained.</x:v>
      </x:c>
      <x:c r="BG157" s="23" t="str">
        <x:v>Next official practice report and game-status designation</x:v>
      </x:c>
      <x:c r="BH157" s="24" t="str">
        <x:v>2026-09-24 7:40 PM CT</x:v>
      </x:c>
    </x:row>
    <x:row r="158">
      <x:c r="A158" s="12" t="str">
        <x:v>Terry McLaurin</x:v>
      </x:c>
      <x:c r="B158" s="12" t="str">
        <x:v>WAS</x:v>
      </x:c>
      <x:c r="C158" s="12" t="str">
        <x:v>WR</x:v>
      </x:c>
      <x:c r="D158" s="12" t="str">
        <x:v>SEA</x:v>
      </x:c>
      <x:c r="E158" s="12" t="str">
        <x:v>Home</x:v>
      </x:c>
      <x:c r="F158" s="12" t="str">
        <x:v>2026-09-27</x:v>
      </x:c>
      <x:c r="G158" s="19" t="n">
        <x:v>1</x:v>
      </x:c>
      <x:c r="H158" s="20" t="str">
        <x:v>ACTIVE</x:v>
      </x:c>
      <x:c r="I158" s="20" t="n">
        <x:v>52</x:v>
      </x:c>
      <x:c r="J158" s="20" t="str">
        <x:v>Routes</x:v>
      </x:c>
      <x:c r="K158" s="20" t="n">
        <x:v>29.053140096618357</x:v>
      </x:c>
      <x:c r="L158" s="21" t="n">
        <x:v>0</x:v>
      </x:c>
      <x:c r="M158" s="21" t="n">
        <x:v>0</x:v>
      </x:c>
      <x:c r="N158" s="21" t="n">
        <x:v>0</x:v>
      </x:c>
      <x:c r="O158" s="21" t="n">
        <x:v>0</x:v>
      </x:c>
      <x:c r="P158" s="21" t="n">
        <x:v>0</x:v>
      </x:c>
      <x:c r="Q158" s="21" t="n">
        <x:v>0.18743961352657004</x:v>
      </x:c>
      <x:c r="R158" s="21" t="n">
        <x:v>1.7818009661835748</x:v>
      </x:c>
      <x:c r="S158" s="21" t="n">
        <x:v>0</x:v>
      </x:c>
      <x:c r="T158" s="21" t="n">
        <x:v>0</x:v>
      </x:c>
      <x:c r="U158" s="21" t="n">
        <x:v>0</x:v>
      </x:c>
      <x:c r="V158" s="21" t="n">
        <x:v>0</x:v>
      </x:c>
      <x:c r="W158" s="21" t="n">
        <x:v>6.5603864734299515</x:v>
      </x:c>
      <x:c r="X158" s="21" t="n">
        <x:v>4.217391304347826</x:v>
      </x:c>
      <x:c r="Y158" s="21" t="n">
        <x:v>51.67222801932367</x:v>
      </x:c>
      <x:c r="Z158" s="21" t="n">
        <x:v>0.3118151690821256</x:v>
      </x:c>
      <x:c r="AA158" s="21" t="n">
        <x:v>29.053140096618357</x:v>
      </x:c>
      <x:c r="AB158" s="21" t="n">
        <x:v>0.78</x:v>
      </x:c>
      <x:c r="AC158" s="21" t="n">
        <x:v>0</x:v>
      </x:c>
      <x:c r="AD158" s="21" t="n">
        <x:v>0</x:v>
      </x:c>
      <x:c r="AE158" s="21" t="n">
        <x:v>0</x:v>
      </x:c>
      <x:c r="AF158" s="21" t="n">
        <x:v>0</x:v>
      </x:c>
      <x:c r="AG158" s="21" t="n">
        <x:v>0</x:v>
      </x:c>
      <x:c r="AH158" s="21" t="n">
        <x:v>0</x:v>
      </x:c>
      <x:c r="AI158" s="21" t="n">
        <x:v>0</x:v>
      </x:c>
      <x:c r="AJ158" s="21" t="n">
        <x:v>0</x:v>
      </x:c>
      <x:c r="AK158" s="21" t="n">
        <x:v>0</x:v>
      </x:c>
      <x:c r="AL158" s="21" t="n">
        <x:v>0</x:v>
      </x:c>
      <x:c r="AM158" s="21" t="n">
        <x:v>1</x:v>
      </x:c>
      <x:c r="AN158" s="21" t="n">
        <x:v>1</x:v>
      </x:c>
      <x:c r="AO158" s="21" t="n">
        <x:v>1</x:v>
      </x:c>
      <x:c r="AP158" s="21" t="n">
        <x:v>0.97</x:v>
      </x:c>
      <x:c r="AQ158" s="21" t="n">
        <x:v>0.98</x:v>
      </x:c>
      <x:c r="AR158" s="21" t="n">
        <x:v>1</x:v>
      </x:c>
      <x:c r="AS158" s="21" t="n">
        <x:v>1</x:v>
      </x:c>
      <x:c r="AT158" s="21" t="n">
        <x:v>1</x:v>
      </x:c>
      <x:c r="AU158" s="21" t="n">
        <x:v>0</x:v>
      </x:c>
      <x:c r="AV158" s="22" t="n">
        <x:f>IF(C158="QB",N158*0.04+O158*4-P158*2+R158*0.1+S158*6,IF(OR(C158="RB",C158="WR",C158="TE"),U158*0.1+V158*6+R158*0.1+S158*6+X158*0.5+Y158*0.1+Z158*6,IF(C158="K",AC158*3+AD158*4+AE158*5+AF158,IF(C158="DST",AG158+AH158*2+AI158*6+AL158,0))))</x:f>
        <x:v>9.324989565217392</x:v>
      </x:c>
      <x:c r="AW158" s="22" t="n">
        <x:f>(AV158+AU158)*G158</x:f>
        <x:v>9.324989565217392</x:v>
      </x:c>
      <x:c r="AX158" s="22" t="n">
        <x:f>MAX(0,AW158*IF(C158="QB",0.68,IF(C158="RB",0.58,IF(C158="WR",0.52,IF(C158="TE",0.50,IF(C158="K",0.55,0.40))))))</x:f>
        <x:v>4.848994573913044</x:v>
      </x:c>
      <x:c r="AY158" s="22" t="n">
        <x:f>AW158*IF(C158="QB",1.32,IF(C158="RB",1.45,IF(C158="WR",1.55,IF(C158="TE",1.60,IF(C158="K",1.45,1.65)))))</x:f>
        <x:v>14.453733826086957</x:v>
      </x:c>
      <x:c r="AZ158" s="12" t="str">
        <x:v>High</x:v>
      </x:c>
      <x:c r="BA158" s="12" t="n">
        <x:v>2</x:v>
      </x:c>
      <x:c r="BB158" s="12" t="n">
        <x:f>COUNTIFS($C$2:$C$344,C158,$AW$2:$AW$344,"&gt;"&amp;AW158,$G$2:$G$344,"&gt;0")+COUNTIFS($C$2:C158,C158,$AW$2:AW158,AW158,$G$2:G158,"&gt;0")</x:f>
        <x:v>21</x:v>
      </x:c>
      <x:c r="BC158" s="12" t="n">
        <x:v>25</x:v>
      </x:c>
      <x:c r="BD158" s="12" t="str">
        <x:f>IF(BB158&lt;BC158,"↑",IF(BB158&gt;BC158,"↓","→"))</x:f>
        <x:v>↑</x:v>
      </x:c>
      <x:c r="BE158" s="23" t="str">
        <x:v>Fantasy Football Brief ROS baseline; official NFL schedule</x:v>
      </x:c>
      <x:c r="BF158" s="23" t="str">
        <x:v>Current role and availability baseline; all adjustment factors shown numerically</x:v>
      </x:c>
      <x:c r="BG158" s="23" t="str">
        <x:v>Material injury, depth-chart, or role change</x:v>
      </x:c>
      <x:c r="BH158" s="24" t="str">
        <x:v>2026-09-23 10:35 CT</x:v>
      </x:c>
    </x:row>
    <x:row r="159">
      <x:c r="A159" s="12" t="str">
        <x:v>DK Metcalf</x:v>
      </x:c>
      <x:c r="B159" s="12" t="str">
        <x:v>PIT</x:v>
      </x:c>
      <x:c r="C159" s="12" t="str">
        <x:v>WR</x:v>
      </x:c>
      <x:c r="D159" s="12" t="str">
        <x:v>CIN</x:v>
      </x:c>
      <x:c r="E159" s="12" t="str">
        <x:v>Home</x:v>
      </x:c>
      <x:c r="F159" s="12" t="str">
        <x:v>2026-09-27</x:v>
      </x:c>
      <x:c r="G159" s="19" t="n">
        <x:v>1</x:v>
      </x:c>
      <x:c r="H159" s="20" t="str">
        <x:v>ACTIVE</x:v>
      </x:c>
      <x:c r="I159" s="20" t="n">
        <x:v>52</x:v>
      </x:c>
      <x:c r="J159" s="20" t="str">
        <x:v>Routes</x:v>
      </x:c>
      <x:c r="K159" s="20" t="n">
        <x:v>27.85507246376812</x:v>
      </x:c>
      <x:c r="L159" s="21" t="n">
        <x:v>0</x:v>
      </x:c>
      <x:c r="M159" s="21" t="n">
        <x:v>0</x:v>
      </x:c>
      <x:c r="N159" s="21" t="n">
        <x:v>0</x:v>
      </x:c>
      <x:c r="O159" s="21" t="n">
        <x:v>0</x:v>
      </x:c>
      <x:c r="P159" s="21" t="n">
        <x:v>0</x:v>
      </x:c>
      <x:c r="Q159" s="21" t="n">
        <x:v>0.17971014492753626</x:v>
      </x:c>
      <x:c r="R159" s="21" t="n">
        <x:v>1.779130434782609</x:v>
      </x:c>
      <x:c r="S159" s="21" t="n">
        <x:v>0</x:v>
      </x:c>
      <x:c r="T159" s="21" t="n">
        <x:v>0</x:v>
      </x:c>
      <x:c r="U159" s="21" t="n">
        <x:v>0</x:v>
      </x:c>
      <x:c r="V159" s="21" t="n">
        <x:v>0</x:v>
      </x:c>
      <x:c r="W159" s="21" t="n">
        <x:v>6.2898550724637685</x:v>
      </x:c>
      <x:c r="X159" s="21" t="n">
        <x:v>4.043478260869565</x:v>
      </x:c>
      <x:c r="Y159" s="21" t="n">
        <x:v>51.59478260869566</x:v>
      </x:c>
      <x:c r="Z159" s="21" t="n">
        <x:v>0.3113478260869565</x:v>
      </x:c>
      <x:c r="AA159" s="21" t="n">
        <x:v>27.85507246376812</x:v>
      </x:c>
      <x:c r="AB159" s="21" t="n">
        <x:v>0.78</x:v>
      </x:c>
      <x:c r="AC159" s="21" t="n">
        <x:v>0</x:v>
      </x:c>
      <x:c r="AD159" s="21" t="n">
        <x:v>0</x:v>
      </x:c>
      <x:c r="AE159" s="21" t="n">
        <x:v>0</x:v>
      </x:c>
      <x:c r="AF159" s="21" t="n">
        <x:v>0</x:v>
      </x:c>
      <x:c r="AG159" s="21" t="n">
        <x:v>0</x:v>
      </x:c>
      <x:c r="AH159" s="21" t="n">
        <x:v>0</x:v>
      </x:c>
      <x:c r="AI159" s="21" t="n">
        <x:v>0</x:v>
      </x:c>
      <x:c r="AJ159" s="21" t="n">
        <x:v>0</x:v>
      </x:c>
      <x:c r="AK159" s="21" t="n">
        <x:v>0</x:v>
      </x:c>
      <x:c r="AL159" s="21" t="n">
        <x:v>0</x:v>
      </x:c>
      <x:c r="AM159" s="21" t="n">
        <x:v>1</x:v>
      </x:c>
      <x:c r="AN159" s="21" t="n">
        <x:v>1</x:v>
      </x:c>
      <x:c r="AO159" s="21" t="n">
        <x:v>1</x:v>
      </x:c>
      <x:c r="AP159" s="21" t="n">
        <x:v>0.99</x:v>
      </x:c>
      <x:c r="AQ159" s="21" t="n">
        <x:v>1</x:v>
      </x:c>
      <x:c r="AR159" s="21" t="n">
        <x:v>1</x:v>
      </x:c>
      <x:c r="AS159" s="21" t="n">
        <x:v>1</x:v>
      </x:c>
      <x:c r="AT159" s="21" t="n">
        <x:v>1</x:v>
      </x:c>
      <x:c r="AU159" s="21" t="n">
        <x:v>0</x:v>
      </x:c>
      <x:c r="AV159" s="22" t="n">
        <x:f>IF(C159="QB",N159*0.04+O159*4-P159*2+R159*0.1+S159*6,IF(OR(C159="RB",C159="WR",C159="TE"),U159*0.1+V159*6+R159*0.1+S159*6+X159*0.5+Y159*0.1+Z159*6,IF(C159="K",AC159*3+AD159*4+AE159*5+AF159,IF(C159="DST",AG159+AH159*2+AI159*6+AL159,0))))</x:f>
        <x:v>9.227217391304348</x:v>
      </x:c>
      <x:c r="AW159" s="22" t="n">
        <x:f>(AV159+AU159)*G159</x:f>
        <x:v>9.227217391304348</x:v>
      </x:c>
      <x:c r="AX159" s="22" t="n">
        <x:f>MAX(0,AW159*IF(C159="QB",0.68,IF(C159="RB",0.58,IF(C159="WR",0.52,IF(C159="TE",0.50,IF(C159="K",0.55,0.40))))))</x:f>
        <x:v>4.798153043478261</x:v>
      </x:c>
      <x:c r="AY159" s="22" t="n">
        <x:f>AW159*IF(C159="QB",1.32,IF(C159="RB",1.45,IF(C159="WR",1.55,IF(C159="TE",1.60,IF(C159="K",1.45,1.65)))))</x:f>
        <x:v>14.30218695652174</x:v>
      </x:c>
      <x:c r="AZ159" s="12" t="str">
        <x:v>High</x:v>
      </x:c>
      <x:c r="BA159" s="12" t="n">
        <x:v>3</x:v>
      </x:c>
      <x:c r="BB159" s="12" t="n">
        <x:f>COUNTIFS($C$2:$C$344,C159,$AW$2:$AW$344,"&gt;"&amp;AW159,$G$2:$G$344,"&gt;0")+COUNTIFS($C$2:C159,C159,$AW$2:AW159,AW159,$G$2:G159,"&gt;0")</x:f>
        <x:v>22</x:v>
      </x:c>
      <x:c r="BC159" s="12" t="n">
        <x:v>26</x:v>
      </x:c>
      <x:c r="BD159" s="12" t="str">
        <x:f>IF(BB159&lt;BC159,"↑",IF(BB159&gt;BC159,"↓","→"))</x:f>
        <x:v>↑</x:v>
      </x:c>
      <x:c r="BE159" s="23" t="str">
        <x:v>Fantasy Football Brief ROS baseline; official NFL schedule</x:v>
      </x:c>
      <x:c r="BF159" s="23" t="str">
        <x:v>Current role and availability baseline; all adjustment factors shown numerically</x:v>
      </x:c>
      <x:c r="BG159" s="23" t="str">
        <x:v>Material injury, depth-chart, or role change</x:v>
      </x:c>
      <x:c r="BH159" s="24" t="str">
        <x:v>2026-09-23 10:35 CT</x:v>
      </x:c>
    </x:row>
    <x:row r="160">
      <x:c r="A160" s="12" t="str">
        <x:v>Jaylen Waddle</x:v>
      </x:c>
      <x:c r="B160" s="12" t="str">
        <x:v>DEN</x:v>
      </x:c>
      <x:c r="C160" s="12" t="str">
        <x:v>WR</x:v>
      </x:c>
      <x:c r="D160" s="12" t="str">
        <x:v>LAR</x:v>
      </x:c>
      <x:c r="E160" s="12" t="str">
        <x:v>Home</x:v>
      </x:c>
      <x:c r="F160" s="12" t="str">
        <x:v>2026-09-27</x:v>
      </x:c>
      <x:c r="G160" s="19" t="n">
        <x:v>1</x:v>
      </x:c>
      <x:c r="H160" s="20" t="str">
        <x:v>ACTIVE</x:v>
      </x:c>
      <x:c r="I160" s="20" t="n">
        <x:v>52</x:v>
      </x:c>
      <x:c r="J160" s="20" t="str">
        <x:v>Routes</x:v>
      </x:c>
      <x:c r="K160" s="20" t="n">
        <x:v>27.85507246376812</x:v>
      </x:c>
      <x:c r="L160" s="21" t="n">
        <x:v>0</x:v>
      </x:c>
      <x:c r="M160" s="21" t="n">
        <x:v>0</x:v>
      </x:c>
      <x:c r="N160" s="21" t="n">
        <x:v>0</x:v>
      </x:c>
      <x:c r="O160" s="21" t="n">
        <x:v>0</x:v>
      </x:c>
      <x:c r="P160" s="21" t="n">
        <x:v>0</x:v>
      </x:c>
      <x:c r="Q160" s="21" t="n">
        <x:v>0.17971014492753626</x:v>
      </x:c>
      <x:c r="R160" s="21" t="n">
        <x:v>1.7611594202898553</x:v>
      </x:c>
      <x:c r="S160" s="21" t="n">
        <x:v>0</x:v>
      </x:c>
      <x:c r="T160" s="21" t="n">
        <x:v>0</x:v>
      </x:c>
      <x:c r="U160" s="21" t="n">
        <x:v>0</x:v>
      </x:c>
      <x:c r="V160" s="21" t="n">
        <x:v>0</x:v>
      </x:c>
      <x:c r="W160" s="21" t="n">
        <x:v>6.2898550724637685</x:v>
      </x:c>
      <x:c r="X160" s="21" t="n">
        <x:v>4.043478260869565</x:v>
      </x:c>
      <x:c r="Y160" s="21" t="n">
        <x:v>51.073623188405804</x:v>
      </x:c>
      <x:c r="Z160" s="21" t="n">
        <x:v>0.30820289855072464</x:v>
      </x:c>
      <x:c r="AA160" s="21" t="n">
        <x:v>27.85507246376812</x:v>
      </x:c>
      <x:c r="AB160" s="21" t="n">
        <x:v>0.78</x:v>
      </x:c>
      <x:c r="AC160" s="21" t="n">
        <x:v>0</x:v>
      </x:c>
      <x:c r="AD160" s="21" t="n">
        <x:v>0</x:v>
      </x:c>
      <x:c r="AE160" s="21" t="n">
        <x:v>0</x:v>
      </x:c>
      <x:c r="AF160" s="21" t="n">
        <x:v>0</x:v>
      </x:c>
      <x:c r="AG160" s="21" t="n">
        <x:v>0</x:v>
      </x:c>
      <x:c r="AH160" s="21" t="n">
        <x:v>0</x:v>
      </x:c>
      <x:c r="AI160" s="21" t="n">
        <x:v>0</x:v>
      </x:c>
      <x:c r="AJ160" s="21" t="n">
        <x:v>0</x:v>
      </x:c>
      <x:c r="AK160" s="21" t="n">
        <x:v>0</x:v>
      </x:c>
      <x:c r="AL160" s="21" t="n">
        <x:v>0</x:v>
      </x:c>
      <x:c r="AM160" s="21" t="n">
        <x:v>1</x:v>
      </x:c>
      <x:c r="AN160" s="21" t="n">
        <x:v>1</x:v>
      </x:c>
      <x:c r="AO160" s="21" t="n">
        <x:v>1</x:v>
      </x:c>
      <x:c r="AP160" s="21" t="n">
        <x:v>1</x:v>
      </x:c>
      <x:c r="AQ160" s="21" t="n">
        <x:v>0.98</x:v>
      </x:c>
      <x:c r="AR160" s="21" t="n">
        <x:v>1</x:v>
      </x:c>
      <x:c r="AS160" s="21" t="n">
        <x:v>1</x:v>
      </x:c>
      <x:c r="AT160" s="21" t="n">
        <x:v>1</x:v>
      </x:c>
      <x:c r="AU160" s="21" t="n">
        <x:v>0</x:v>
      </x:c>
      <x:c r="AV160" s="22" t="n">
        <x:f>IF(C160="QB",N160*0.04+O160*4-P160*2+R160*0.1+S160*6,IF(OR(C160="RB",C160="WR",C160="TE"),U160*0.1+V160*6+R160*0.1+S160*6+X160*0.5+Y160*0.1+Z160*6,IF(C160="K",AC160*3+AD160*4+AE160*5+AF160,IF(C160="DST",AG160+AH160*2+AI160*6+AL160,0))))</x:f>
        <x:v>9.154434782608698</x:v>
      </x:c>
      <x:c r="AW160" s="22" t="n">
        <x:f>(AV160+AU160)*G160</x:f>
        <x:v>9.154434782608698</x:v>
      </x:c>
      <x:c r="AX160" s="22" t="n">
        <x:f>MAX(0,AW160*IF(C160="QB",0.68,IF(C160="RB",0.58,IF(C160="WR",0.52,IF(C160="TE",0.50,IF(C160="K",0.55,0.40))))))</x:f>
        <x:v>4.760306086956523</x:v>
      </x:c>
      <x:c r="AY160" s="22" t="n">
        <x:f>AW160*IF(C160="QB",1.32,IF(C160="RB",1.45,IF(C160="WR",1.55,IF(C160="TE",1.60,IF(C160="K",1.45,1.65)))))</x:f>
        <x:v>14.189373913043482</x:v>
      </x:c>
      <x:c r="AZ160" s="12" t="str">
        <x:v>High</x:v>
      </x:c>
      <x:c r="BA160" s="12" t="n">
        <x:v>3</x:v>
      </x:c>
      <x:c r="BB160" s="12" t="n">
        <x:f>COUNTIFS($C$2:$C$344,C160,$AW$2:$AW$344,"&gt;"&amp;AW160,$G$2:$G$344,"&gt;0")+COUNTIFS($C$2:C160,C160,$AW$2:AW160,AW160,$G$2:G160,"&gt;0")</x:f>
        <x:v>23</x:v>
      </x:c>
      <x:c r="BC160" s="12" t="n">
        <x:v>27</x:v>
      </x:c>
      <x:c r="BD160" s="12" t="str">
        <x:f>IF(BB160&lt;BC160,"↑",IF(BB160&gt;BC160,"↓","→"))</x:f>
        <x:v>↑</x:v>
      </x:c>
      <x:c r="BE160" s="23" t="str">
        <x:v>Fantasy Football Brief ROS baseline; official NFL schedule</x:v>
      </x:c>
      <x:c r="BF160" s="23" t="str">
        <x:v>Current role and availability baseline; all adjustment factors shown numerically</x:v>
      </x:c>
      <x:c r="BG160" s="23" t="str">
        <x:v>Material injury, depth-chart, or role change</x:v>
      </x:c>
      <x:c r="BH160" s="24" t="str">
        <x:v>2026-09-23 10:35 CT</x:v>
      </x:c>
    </x:row>
    <x:row r="161">
      <x:c r="A161" s="12" t="str">
        <x:v>Mike Evans</x:v>
      </x:c>
      <x:c r="B161" s="12" t="str">
        <x:v>SF</x:v>
      </x:c>
      <x:c r="C161" s="12" t="str">
        <x:v>WR</x:v>
      </x:c>
      <x:c r="D161" s="12" t="str">
        <x:v>ARI</x:v>
      </x:c>
      <x:c r="E161" s="12" t="str">
        <x:v>Home</x:v>
      </x:c>
      <x:c r="F161" s="12" t="str">
        <x:v>2026-09-27</x:v>
      </x:c>
      <x:c r="G161" s="19" t="n">
        <x:v>1</x:v>
      </x:c>
      <x:c r="H161" s="20" t="str">
        <x:v>ACTIVE</x:v>
      </x:c>
      <x:c r="I161" s="20" t="n">
        <x:v>52</x:v>
      </x:c>
      <x:c r="J161" s="20" t="str">
        <x:v>Routes</x:v>
      </x:c>
      <x:c r="K161" s="20" t="n">
        <x:v>26.956521739130434</x:v>
      </x:c>
      <x:c r="L161" s="21" t="n">
        <x:v>0</x:v>
      </x:c>
      <x:c r="M161" s="21" t="n">
        <x:v>0</x:v>
      </x:c>
      <x:c r="N161" s="21" t="n">
        <x:v>0</x:v>
      </x:c>
      <x:c r="O161" s="21" t="n">
        <x:v>0</x:v>
      </x:c>
      <x:c r="P161" s="21" t="n">
        <x:v>0</x:v>
      </x:c>
      <x:c r="Q161" s="21" t="n">
        <x:v>0.17391304347826086</x:v>
      </x:c>
      <x:c r="R161" s="21" t="n">
        <x:v>1.7739130434782608</x:v>
      </x:c>
      <x:c r="S161" s="21" t="n">
        <x:v>0</x:v>
      </x:c>
      <x:c r="T161" s="21" t="n">
        <x:v>0</x:v>
      </x:c>
      <x:c r="U161" s="21" t="n">
        <x:v>0</x:v>
      </x:c>
      <x:c r="V161" s="21" t="n">
        <x:v>0</x:v>
      </x:c>
      <x:c r="W161" s="21" t="n">
        <x:v>6.08695652173913</x:v>
      </x:c>
      <x:c r="X161" s="21" t="n">
        <x:v>3.9130434782608696</x:v>
      </x:c>
      <x:c r="Y161" s="21" t="n">
        <x:v>51.44347826086956</x:v>
      </x:c>
      <x:c r="Z161" s="21" t="n">
        <x:v>0.3104347826086956</x:v>
      </x:c>
      <x:c r="AA161" s="21" t="n">
        <x:v>26.956521739130434</x:v>
      </x:c>
      <x:c r="AB161" s="21" t="n">
        <x:v>0.78</x:v>
      </x:c>
      <x:c r="AC161" s="21" t="n">
        <x:v>0</x:v>
      </x:c>
      <x:c r="AD161" s="21" t="n">
        <x:v>0</x:v>
      </x:c>
      <x:c r="AE161" s="21" t="n">
        <x:v>0</x:v>
      </x:c>
      <x:c r="AF161" s="21" t="n">
        <x:v>0</x:v>
      </x:c>
      <x:c r="AG161" s="21" t="n">
        <x:v>0</x:v>
      </x:c>
      <x:c r="AH161" s="21" t="n">
        <x:v>0</x:v>
      </x:c>
      <x:c r="AI161" s="21" t="n">
        <x:v>0</x:v>
      </x:c>
      <x:c r="AJ161" s="21" t="n">
        <x:v>0</x:v>
      </x:c>
      <x:c r="AK161" s="21" t="n">
        <x:v>0</x:v>
      </x:c>
      <x:c r="AL161" s="21" t="n">
        <x:v>0</x:v>
      </x:c>
      <x:c r="AM161" s="21" t="n">
        <x:v>1</x:v>
      </x:c>
      <x:c r="AN161" s="21" t="n">
        <x:v>1</x:v>
      </x:c>
      <x:c r="AO161" s="21" t="n">
        <x:v>1</x:v>
      </x:c>
      <x:c r="AP161" s="21" t="n">
        <x:v>1.02</x:v>
      </x:c>
      <x:c r="AQ161" s="21" t="n">
        <x:v>1</x:v>
      </x:c>
      <x:c r="AR161" s="21" t="n">
        <x:v>1</x:v>
      </x:c>
      <x:c r="AS161" s="21" t="n">
        <x:v>1</x:v>
      </x:c>
      <x:c r="AT161" s="21" t="n">
        <x:v>1</x:v>
      </x:c>
      <x:c r="AU161" s="21" t="n">
        <x:v>0</x:v>
      </x:c>
      <x:c r="AV161" s="22" t="n">
        <x:f>IF(C161="QB",N161*0.04+O161*4-P161*2+R161*0.1+S161*6,IF(OR(C161="RB",C161="WR",C161="TE"),U161*0.1+V161*6+R161*0.1+S161*6+X161*0.5+Y161*0.1+Z161*6,IF(C161="K",AC161*3+AD161*4+AE161*5+AF161,IF(C161="DST",AG161+AH161*2+AI161*6+AL161,0))))</x:f>
        <x:v>9.140869565217391</x:v>
      </x:c>
      <x:c r="AW161" s="22" t="n">
        <x:f>(AV161+AU161)*G161</x:f>
        <x:v>9.140869565217391</x:v>
      </x:c>
      <x:c r="AX161" s="22" t="n">
        <x:f>MAX(0,AW161*IF(C161="QB",0.68,IF(C161="RB",0.58,IF(C161="WR",0.52,IF(C161="TE",0.50,IF(C161="K",0.55,0.40))))))</x:f>
        <x:v>4.753252173913044</x:v>
      </x:c>
      <x:c r="AY161" s="22" t="n">
        <x:f>AW161*IF(C161="QB",1.32,IF(C161="RB",1.45,IF(C161="WR",1.55,IF(C161="TE",1.60,IF(C161="K",1.45,1.65)))))</x:f>
        <x:v>14.168347826086958</x:v>
      </x:c>
      <x:c r="AZ161" s="12" t="str">
        <x:v>High</x:v>
      </x:c>
      <x:c r="BA161" s="12" t="n">
        <x:v>3</x:v>
      </x:c>
      <x:c r="BB161" s="12" t="n">
        <x:f>COUNTIFS($C$2:$C$344,C161,$AW$2:$AW$344,"&gt;"&amp;AW161,$G$2:$G$344,"&gt;0")+COUNTIFS($C$2:C161,C161,$AW$2:AW161,AW161,$G$2:G161,"&gt;0")</x:f>
        <x:v>24</x:v>
      </x:c>
      <x:c r="BC161" s="12" t="n">
        <x:v>28</x:v>
      </x:c>
      <x:c r="BD161" s="12" t="str">
        <x:f>IF(BB161&lt;BC161,"↑",IF(BB161&gt;BC161,"↓","→"))</x:f>
        <x:v>↑</x:v>
      </x:c>
      <x:c r="BE161" s="23" t="str">
        <x:v>Fantasy Football Brief ROS baseline; official NFL schedule</x:v>
      </x:c>
      <x:c r="BF161" s="23" t="str">
        <x:v>Current role and availability baseline; all adjustment factors shown numerically</x:v>
      </x:c>
      <x:c r="BG161" s="23" t="str">
        <x:v>Material injury, depth-chart, or role change</x:v>
      </x:c>
      <x:c r="BH161" s="24" t="str">
        <x:v>2026-09-23 10:35 CT</x:v>
      </x:c>
    </x:row>
    <x:row r="162">
      <x:c r="A162" s="12" t="str">
        <x:v>Matthew Golden</x:v>
      </x:c>
      <x:c r="B162" s="12" t="str">
        <x:v>GB</x:v>
      </x:c>
      <x:c r="C162" s="12" t="str">
        <x:v>WR</x:v>
      </x:c>
      <x:c r="D162" s="12" t="str">
        <x:v>ATL</x:v>
      </x:c>
      <x:c r="E162" s="12" t="str">
        <x:v>Home</x:v>
      </x:c>
      <x:c r="F162" s="12" t="str">
        <x:v>2026-09-24</x:v>
      </x:c>
      <x:c r="G162" s="19" t="n">
        <x:v>1</x:v>
      </x:c>
      <x:c r="H162" s="20" t="str">
        <x:v>ACTIVE</x:v>
      </x:c>
      <x:c r="I162" s="20" t="n">
        <x:v>52</x:v>
      </x:c>
      <x:c r="J162" s="20" t="str">
        <x:v>Routes</x:v>
      </x:c>
      <x:c r="K162" s="20" t="n">
        <x:v>30</x:v>
      </x:c>
      <x:c r="L162" s="21" t="n">
        <x:v>0</x:v>
      </x:c>
      <x:c r="M162" s="21" t="n">
        <x:v>0</x:v>
      </x:c>
      <x:c r="N162" s="21" t="n">
        <x:v>0</x:v>
      </x:c>
      <x:c r="O162" s="21" t="n">
        <x:v>0</x:v>
      </x:c>
      <x:c r="P162" s="21" t="n">
        <x:v>0</x:v>
      </x:c>
      <x:c r="Q162" s="21" t="n">
        <x:v>0.17198067632850245</x:v>
      </x:c>
      <x:c r="R162" s="21" t="n">
        <x:v>1.7542028985507248</x:v>
      </x:c>
      <x:c r="S162" s="21" t="n">
        <x:v>0</x:v>
      </x:c>
      <x:c r="T162" s="21" t="n">
        <x:v>0</x:v>
      </x:c>
      <x:c r="U162" s="21" t="n">
        <x:v>0</x:v>
      </x:c>
      <x:c r="V162" s="21" t="n">
        <x:v>0</x:v>
      </x:c>
      <x:c r="W162" s="21" t="n">
        <x:v>7</x:v>
      </x:c>
      <x:c r="X162" s="21" t="n">
        <x:v>4.4</x:v>
      </x:c>
      <x:c r="Y162" s="21" t="n">
        <x:v>57</x:v>
      </x:c>
      <x:c r="Z162" s="21" t="n">
        <x:v>0.3</x:v>
      </x:c>
      <x:c r="AA162" s="21" t="n">
        <x:v>30</x:v>
      </x:c>
      <x:c r="AB162" s="21" t="n">
        <x:v>0.8823529411764706</x:v>
      </x:c>
      <x:c r="AC162" s="21" t="n">
        <x:v>0</x:v>
      </x:c>
      <x:c r="AD162" s="21" t="n">
        <x:v>0</x:v>
      </x:c>
      <x:c r="AE162" s="21" t="n">
        <x:v>0</x:v>
      </x:c>
      <x:c r="AF162" s="21" t="n">
        <x:v>0</x:v>
      </x:c>
      <x:c r="AG162" s="21" t="n">
        <x:v>0</x:v>
      </x:c>
      <x:c r="AH162" s="21" t="n">
        <x:v>0</x:v>
      </x:c>
      <x:c r="AI162" s="21" t="n">
        <x:v>0</x:v>
      </x:c>
      <x:c r="AJ162" s="21" t="n">
        <x:v>0</x:v>
      </x:c>
      <x:c r="AK162" s="21" t="n">
        <x:v>0</x:v>
      </x:c>
      <x:c r="AL162" s="21" t="n">
        <x:v>0</x:v>
      </x:c>
      <x:c r="AM162" s="21" t="n">
        <x:v>1</x:v>
      </x:c>
      <x:c r="AN162" s="21" t="n">
        <x:v>1</x:v>
      </x:c>
      <x:c r="AO162" s="21" t="n">
        <x:v>1</x:v>
      </x:c>
      <x:c r="AP162" s="21" t="n">
        <x:v>1.02</x:v>
      </x:c>
      <x:c r="AQ162" s="21" t="n">
        <x:v>1</x:v>
      </x:c>
      <x:c r="AR162" s="21" t="n">
        <x:v>1</x:v>
      </x:c>
      <x:c r="AS162" s="21" t="n">
        <x:v>1</x:v>
      </x:c>
      <x:c r="AT162" s="21" t="n">
        <x:v>1</x:v>
      </x:c>
      <x:c r="AU162" s="21" t="n">
        <x:v>0</x:v>
      </x:c>
      <x:c r="AV162" s="22" t="n">
        <x:f>IF(C162="QB",N162*0.04+O162*4-P162*2+R162*0.1+S162*6,IF(OR(C162="RB",C162="WR",C162="TE"),U162*0.1+V162*6+R162*0.1+S162*6+X162*0.5+Y162*0.1+Z162*6,IF(C162="K",AC162*3+AD162*4+AE162*5+AF162,IF(C162="DST",AG162+AH162*2+AI162*6+AL162,0))))</x:f>
        <x:v>9.875420289855072</x:v>
      </x:c>
      <x:c r="AW162" s="22" t="n">
        <x:f>(AV162+AU162)*G162</x:f>
        <x:v>9.875420289855072</x:v>
      </x:c>
      <x:c r="AX162" s="22" t="n">
        <x:f>MAX(0,AW162*IF(C162="QB",0.68,IF(C162="RB",0.58,IF(C162="WR",0.52,IF(C162="TE",0.50,IF(C162="K",0.55,0.40))))))</x:f>
        <x:v>5.1352185507246375</x:v>
      </x:c>
      <x:c r="AY162" s="22" t="n">
        <x:f>AW162*IF(C162="QB",1.32,IF(C162="RB",1.45,IF(C162="WR",1.55,IF(C162="TE",1.60,IF(C162="K",1.45,1.65)))))</x:f>
        <x:v>15.306901449275362</x:v>
      </x:c>
      <x:c r="AZ162" s="12" t="str">
        <x:v>Moderate</x:v>
      </x:c>
      <x:c r="BA162" s="12" t="n">
        <x:v>3</x:v>
      </x:c>
      <x:c r="BB162" s="12" t="n">
        <x:f>COUNTIFS($C$2:$C$344,C162,$AW$2:$AW$344,"&gt;"&amp;AW162,$G$2:$G$344,"&gt;0")+COUNTIFS($C$2:C162,C162,$AW$2:AW162,AW162,$G$2:G162,"&gt;0")</x:f>
        <x:v>19</x:v>
      </x:c>
      <x:c r="BC162" s="12" t="n">
        <x:v>7</x:v>
      </x:c>
      <x:c r="BD162" s="12" t="str">
        <x:f>IF(BB162&lt;BC162,"↑",IF(BB162&gt;BC162,"↓","→"))</x:f>
        <x:v>↓</x:v>
      </x:c>
      <x:c r="BE162" s="23" t="str">
        <x:v>https://static.clubs.nfl.com/image/upload/packers/zu3fdftopjkj8hkcwckc</x:v>
      </x:c>
      <x:c r="BF162" s="23" t="str">
        <x:v>Corrected pregame workload model; no Week 3 results used. Week 2 gamebook: Watson 11 targets, Golden 6; forecast routes capped by 34 dropbacks. Team stat budget replaces additive route transfer. Secondary receiver; 6–8 target range. Slot fit does not override Watson target-earning role. Red-zone share 22%, two-minute routes 85–95%.</x:v>
      </x:c>
      <x:c r="BG162" s="23" t="str">
        <x:v>Next official practice report and game-status designation</x:v>
      </x:c>
      <x:c r="BH162" s="24" t="str">
        <x:v>2026-09-24 7:40 PM CT</x:v>
      </x:c>
    </x:row>
    <x:row r="163">
      <x:c r="A163" s="12" t="str">
        <x:v>Ladd McConkey</x:v>
      </x:c>
      <x:c r="B163" s="12" t="str">
        <x:v>LAC</x:v>
      </x:c>
      <x:c r="C163" s="12" t="str">
        <x:v>WR</x:v>
      </x:c>
      <x:c r="D163" s="12" t="str">
        <x:v>BUF</x:v>
      </x:c>
      <x:c r="E163" s="12" t="str">
        <x:v>Away</x:v>
      </x:c>
      <x:c r="F163" s="12" t="str">
        <x:v>2026-09-27</x:v>
      </x:c>
      <x:c r="G163" s="19" t="n">
        <x:v>0.9666666666666667</x:v>
      </x:c>
      <x:c r="H163" s="20" t="str">
        <x:v>ACTIVE</x:v>
      </x:c>
      <x:c r="I163" s="20" t="n">
        <x:v>50.266666666666666</x:v>
      </x:c>
      <x:c r="J163" s="20" t="str">
        <x:v>Routes</x:v>
      </x:c>
      <x:c r="K163" s="20" t="n">
        <x:v>28.45410628019324</x:v>
      </x:c>
      <x:c r="L163" s="21" t="n">
        <x:v>0</x:v>
      </x:c>
      <x:c r="M163" s="21" t="n">
        <x:v>0</x:v>
      </x:c>
      <x:c r="N163" s="21" t="n">
        <x:v>0</x:v>
      </x:c>
      <x:c r="O163" s="21" t="n">
        <x:v>0</x:v>
      </x:c>
      <x:c r="P163" s="21" t="n">
        <x:v>0</x:v>
      </x:c>
      <x:c r="Q163" s="21" t="n">
        <x:v>0.18357487922705318</x:v>
      </x:c>
      <x:c r="R163" s="21" t="n">
        <x:v>1.7799420289855075</x:v>
      </x:c>
      <x:c r="S163" s="21" t="n">
        <x:v>0</x:v>
      </x:c>
      <x:c r="T163" s="21" t="n">
        <x:v>0</x:v>
      </x:c>
      <x:c r="U163" s="21" t="n">
        <x:v>0</x:v>
      </x:c>
      <x:c r="V163" s="21" t="n">
        <x:v>0</x:v>
      </x:c>
      <x:c r="W163" s="21" t="n">
        <x:v>6.42512077294686</x:v>
      </x:c>
      <x:c r="X163" s="21" t="n">
        <x:v>4.130434782608696</x:v>
      </x:c>
      <x:c r="Y163" s="21" t="n">
        <x:v>51.61831884057972</x:v>
      </x:c>
      <x:c r="Z163" s="21" t="n">
        <x:v>0.31148985507246374</x:v>
      </x:c>
      <x:c r="AA163" s="21" t="n">
        <x:v>28.45410628019324</x:v>
      </x:c>
      <x:c r="AB163" s="21" t="n">
        <x:v>0.78</x:v>
      </x:c>
      <x:c r="AC163" s="21" t="n">
        <x:v>0</x:v>
      </x:c>
      <x:c r="AD163" s="21" t="n">
        <x:v>0</x:v>
      </x:c>
      <x:c r="AE163" s="21" t="n">
        <x:v>0</x:v>
      </x:c>
      <x:c r="AF163" s="21" t="n">
        <x:v>0</x:v>
      </x:c>
      <x:c r="AG163" s="21" t="n">
        <x:v>0</x:v>
      </x:c>
      <x:c r="AH163" s="21" t="n">
        <x:v>0</x:v>
      </x:c>
      <x:c r="AI163" s="21" t="n">
        <x:v>0</x:v>
      </x:c>
      <x:c r="AJ163" s="21" t="n">
        <x:v>0</x:v>
      </x:c>
      <x:c r="AK163" s="21" t="n">
        <x:v>0</x:v>
      </x:c>
      <x:c r="AL163" s="21" t="n">
        <x:v>0</x:v>
      </x:c>
      <x:c r="AM163" s="21" t="n">
        <x:v>0.9666666666666667</x:v>
      </x:c>
      <x:c r="AN163" s="21" t="n">
        <x:v>1</x:v>
      </x:c>
      <x:c r="AO163" s="21" t="n">
        <x:v>1</x:v>
      </x:c>
      <x:c r="AP163" s="21" t="n">
        <x:v>1.01</x:v>
      </x:c>
      <x:c r="AQ163" s="21" t="n">
        <x:v>0.96</x:v>
      </x:c>
      <x:c r="AR163" s="21" t="n">
        <x:v>1</x:v>
      </x:c>
      <x:c r="AS163" s="21" t="n">
        <x:v>1</x:v>
      </x:c>
      <x:c r="AT163" s="21" t="n">
        <x:v>1</x:v>
      </x:c>
      <x:c r="AU163" s="21" t="n">
        <x:v>0</x:v>
      </x:c>
      <x:c r="AV163" s="22" t="n">
        <x:f>IF(C163="QB",N163*0.04+O163*4-P163*2+R163*0.1+S163*6,IF(OR(C163="RB",C163="WR",C163="TE"),U163*0.1+V163*6+R163*0.1+S163*6+X163*0.5+Y163*0.1+Z163*6,IF(C163="K",AC163*3+AD163*4+AE163*5+AF163,IF(C163="DST",AG163+AH163*2+AI163*6+AL163,0))))</x:f>
        <x:v>9.273982608695654</x:v>
      </x:c>
      <x:c r="AW163" s="22" t="n">
        <x:f>(AV163+AU163)*G163</x:f>
        <x:v>8.964849855072465</x:v>
      </x:c>
      <x:c r="AX163" s="22" t="n">
        <x:f>MAX(0,AW163*IF(C163="QB",0.68,IF(C163="RB",0.58,IF(C163="WR",0.52,IF(C163="TE",0.50,IF(C163="K",0.55,0.40))))))</x:f>
        <x:v>4.661721924637682</x:v>
      </x:c>
      <x:c r="AY163" s="22" t="n">
        <x:f>AW163*IF(C163="QB",1.32,IF(C163="RB",1.45,IF(C163="WR",1.55,IF(C163="TE",1.60,IF(C163="K",1.45,1.65)))))</x:f>
        <x:v>13.895517275362321</x:v>
      </x:c>
      <x:c r="AZ163" s="12" t="str">
        <x:v>Moderate</x:v>
      </x:c>
      <x:c r="BA163" s="12" t="n">
        <x:v>3</x:v>
      </x:c>
      <x:c r="BB163" s="12" t="n">
        <x:f>COUNTIFS($C$2:$C$344,C163,$AW$2:$AW$344,"&gt;"&amp;AW163,$G$2:$G$344,"&gt;0")+COUNTIFS($C$2:C163,C163,$AW$2:AW163,AW163,$G$2:G163,"&gt;0")</x:f>
        <x:v>25</x:v>
      </x:c>
      <x:c r="BC163" s="12" t="n">
        <x:v>29</x:v>
      </x:c>
      <x:c r="BD163" s="12" t="str">
        <x:f>IF(BB163&lt;BC163,"↑",IF(BB163&gt;BC163,"↓","→"))</x:f>
        <x:v>↑</x:v>
      </x:c>
      <x:c r="BE163" s="23" t="str">
        <x:v>Fantasy Football Brief ROS baseline; official NFL schedule</x:v>
      </x:c>
      <x:c r="BF163" s="23" t="str">
        <x:v>Current role and availability baseline; all adjustment factors shown numerically</x:v>
      </x:c>
      <x:c r="BG163" s="23" t="str">
        <x:v>Material injury, depth-chart, or role change</x:v>
      </x:c>
      <x:c r="BH163" s="24" t="str">
        <x:v>2026-09-23 10:35 CT</x:v>
      </x:c>
    </x:row>
    <x:row r="164">
      <x:c r="A164" s="12" t="str">
        <x:v>Courtland Sutton</x:v>
      </x:c>
      <x:c r="B164" s="12" t="str">
        <x:v>DEN</x:v>
      </x:c>
      <x:c r="C164" s="12" t="str">
        <x:v>WR</x:v>
      </x:c>
      <x:c r="D164" s="12" t="str">
        <x:v>LAR</x:v>
      </x:c>
      <x:c r="E164" s="12" t="str">
        <x:v>Home</x:v>
      </x:c>
      <x:c r="F164" s="12" t="str">
        <x:v>2026-09-27</x:v>
      </x:c>
      <x:c r="G164" s="19" t="n">
        <x:v>1</x:v>
      </x:c>
      <x:c r="H164" s="20" t="str">
        <x:v>ACTIVE</x:v>
      </x:c>
      <x:c r="I164" s="20" t="n">
        <x:v>52</x:v>
      </x:c>
      <x:c r="J164" s="20" t="str">
        <x:v>Routes</x:v>
      </x:c>
      <x:c r="K164" s="20" t="n">
        <x:v>27.256038647342997</x:v>
      </x:c>
      <x:c r="L164" s="21" t="n">
        <x:v>0</x:v>
      </x:c>
      <x:c r="M164" s="21" t="n">
        <x:v>0</x:v>
      </x:c>
      <x:c r="N164" s="21" t="n">
        <x:v>0</x:v>
      </x:c>
      <x:c r="O164" s="21" t="n">
        <x:v>0</x:v>
      </x:c>
      <x:c r="P164" s="21" t="n">
        <x:v>0</x:v>
      </x:c>
      <x:c r="Q164" s="21" t="n">
        <x:v>0.17584541062801934</x:v>
      </x:c>
      <x:c r="R164" s="21" t="n">
        <x:v>1.7232850241545894</x:v>
      </x:c>
      <x:c r="S164" s="21" t="n">
        <x:v>0</x:v>
      </x:c>
      <x:c r="T164" s="21" t="n">
        <x:v>0</x:v>
      </x:c>
      <x:c r="U164" s="21" t="n">
        <x:v>0</x:v>
      </x:c>
      <x:c r="V164" s="21" t="n">
        <x:v>0</x:v>
      </x:c>
      <x:c r="W164" s="21" t="n">
        <x:v>6.154589371980676</x:v>
      </x:c>
      <x:c r="X164" s="21" t="n">
        <x:v>3.956521739130435</x:v>
      </x:c>
      <x:c r="Y164" s="21" t="n">
        <x:v>49.97526570048309</x:v>
      </x:c>
      <x:c r="Z164" s="21" t="n">
        <x:v>0.30157487922705317</x:v>
      </x:c>
      <x:c r="AA164" s="21" t="n">
        <x:v>27.256038647342997</x:v>
      </x:c>
      <x:c r="AB164" s="21" t="n">
        <x:v>0.78</x:v>
      </x:c>
      <x:c r="AC164" s="21" t="n">
        <x:v>0</x:v>
      </x:c>
      <x:c r="AD164" s="21" t="n">
        <x:v>0</x:v>
      </x:c>
      <x:c r="AE164" s="21" t="n">
        <x:v>0</x:v>
      </x:c>
      <x:c r="AF164" s="21" t="n">
        <x:v>0</x:v>
      </x:c>
      <x:c r="AG164" s="21" t="n">
        <x:v>0</x:v>
      </x:c>
      <x:c r="AH164" s="21" t="n">
        <x:v>0</x:v>
      </x:c>
      <x:c r="AI164" s="21" t="n">
        <x:v>0</x:v>
      </x:c>
      <x:c r="AJ164" s="21" t="n">
        <x:v>0</x:v>
      </x:c>
      <x:c r="AK164" s="21" t="n">
        <x:v>0</x:v>
      </x:c>
      <x:c r="AL164" s="21" t="n">
        <x:v>0</x:v>
      </x:c>
      <x:c r="AM164" s="21" t="n">
        <x:v>1</x:v>
      </x:c>
      <x:c r="AN164" s="21" t="n">
        <x:v>1</x:v>
      </x:c>
      <x:c r="AO164" s="21" t="n">
        <x:v>1</x:v>
      </x:c>
      <x:c r="AP164" s="21" t="n">
        <x:v>1</x:v>
      </x:c>
      <x:c r="AQ164" s="21" t="n">
        <x:v>0.98</x:v>
      </x:c>
      <x:c r="AR164" s="21" t="n">
        <x:v>1</x:v>
      </x:c>
      <x:c r="AS164" s="21" t="n">
        <x:v>1</x:v>
      </x:c>
      <x:c r="AT164" s="21" t="n">
        <x:v>1</x:v>
      </x:c>
      <x:c r="AU164" s="21" t="n">
        <x:v>0</x:v>
      </x:c>
      <x:c r="AV164" s="22" t="n">
        <x:f>IF(C164="QB",N164*0.04+O164*4-P164*2+R164*0.1+S164*6,IF(OR(C164="RB",C164="WR",C164="TE"),U164*0.1+V164*6+R164*0.1+S164*6+X164*0.5+Y164*0.1+Z164*6,IF(C164="K",AC164*3+AD164*4+AE164*5+AF164,IF(C164="DST",AG164+AH164*2+AI164*6+AL164,0))))</x:f>
        <x:v>8.957565217391306</x:v>
      </x:c>
      <x:c r="AW164" s="22" t="n">
        <x:f>(AV164+AU164)*G164</x:f>
        <x:v>8.957565217391306</x:v>
      </x:c>
      <x:c r="AX164" s="22" t="n">
        <x:f>MAX(0,AW164*IF(C164="QB",0.68,IF(C164="RB",0.58,IF(C164="WR",0.52,IF(C164="TE",0.50,IF(C164="K",0.55,0.40))))))</x:f>
        <x:v>4.657933913043479</x:v>
      </x:c>
      <x:c r="AY164" s="22" t="n">
        <x:f>AW164*IF(C164="QB",1.32,IF(C164="RB",1.45,IF(C164="WR",1.55,IF(C164="TE",1.60,IF(C164="K",1.45,1.65)))))</x:f>
        <x:v>13.884226086956524</x:v>
      </x:c>
      <x:c r="AZ164" s="12" t="str">
        <x:v>High</x:v>
      </x:c>
      <x:c r="BA164" s="12" t="n">
        <x:v>3</x:v>
      </x:c>
      <x:c r="BB164" s="12" t="n">
        <x:f>COUNTIFS($C$2:$C$344,C164,$AW$2:$AW$344,"&gt;"&amp;AW164,$G$2:$G$344,"&gt;0")+COUNTIFS($C$2:C164,C164,$AW$2:AW164,AW164,$G$2:G164,"&gt;0")</x:f>
        <x:v>26</x:v>
      </x:c>
      <x:c r="BC164" s="12" t="n">
        <x:v>30</x:v>
      </x:c>
      <x:c r="BD164" s="12" t="str">
        <x:f>IF(BB164&lt;BC164,"↑",IF(BB164&gt;BC164,"↓","→"))</x:f>
        <x:v>↑</x:v>
      </x:c>
      <x:c r="BE164" s="23" t="str">
        <x:v>Fantasy Football Brief ROS baseline; official NFL schedule</x:v>
      </x:c>
      <x:c r="BF164" s="23" t="str">
        <x:v>Current role and availability baseline; all adjustment factors shown numerically</x:v>
      </x:c>
      <x:c r="BG164" s="23" t="str">
        <x:v>Material injury, depth-chart, or role change</x:v>
      </x:c>
      <x:c r="BH164" s="24" t="str">
        <x:v>2026-09-23 10:35 CT</x:v>
      </x:c>
    </x:row>
    <x:row r="165">
      <x:c r="A165" s="12" t="str">
        <x:v>Wan'Dale Robinson</x:v>
      </x:c>
      <x:c r="B165" s="12" t="str">
        <x:v>TEN</x:v>
      </x:c>
      <x:c r="C165" s="12" t="str">
        <x:v>WR</x:v>
      </x:c>
      <x:c r="D165" s="12" t="str">
        <x:v>NYG</x:v>
      </x:c>
      <x:c r="E165" s="12" t="str">
        <x:v>Away</x:v>
      </x:c>
      <x:c r="F165" s="12" t="str">
        <x:v>2026-09-27</x:v>
      </x:c>
      <x:c r="G165" s="19" t="n">
        <x:v>1</x:v>
      </x:c>
      <x:c r="H165" s="20" t="str">
        <x:v>ACTIVE</x:v>
      </x:c>
      <x:c r="I165" s="20" t="n">
        <x:v>52</x:v>
      </x:c>
      <x:c r="J165" s="20" t="str">
        <x:v>Routes</x:v>
      </x:c>
      <x:c r="K165" s="20" t="n">
        <x:v>26.956521739130434</x:v>
      </x:c>
      <x:c r="L165" s="21" t="n">
        <x:v>0</x:v>
      </x:c>
      <x:c r="M165" s="21" t="n">
        <x:v>0</x:v>
      </x:c>
      <x:c r="N165" s="21" t="n">
        <x:v>0</x:v>
      </x:c>
      <x:c r="O165" s="21" t="n">
        <x:v>0</x:v>
      </x:c>
      <x:c r="P165" s="21" t="n">
        <x:v>0</x:v>
      </x:c>
      <x:c r="Q165" s="21" t="n">
        <x:v>0.17391304347826086</x:v>
      </x:c>
      <x:c r="R165" s="21" t="n">
        <x:v>1.7196521739130435</x:v>
      </x:c>
      <x:c r="S165" s="21" t="n">
        <x:v>0</x:v>
      </x:c>
      <x:c r="T165" s="21" t="n">
        <x:v>0</x:v>
      </x:c>
      <x:c r="U165" s="21" t="n">
        <x:v>0</x:v>
      </x:c>
      <x:c r="V165" s="21" t="n">
        <x:v>0</x:v>
      </x:c>
      <x:c r="W165" s="21" t="n">
        <x:v>6.08695652173913</x:v>
      </x:c>
      <x:c r="X165" s="21" t="n">
        <x:v>3.9130434782608696</x:v>
      </x:c>
      <x:c r="Y165" s="21" t="n">
        <x:v>49.869913043478256</x:v>
      </x:c>
      <x:c r="Z165" s="21" t="n">
        <x:v>0.3009391304347826</x:v>
      </x:c>
      <x:c r="AA165" s="21" t="n">
        <x:v>26.956521739130434</x:v>
      </x:c>
      <x:c r="AB165" s="21" t="n">
        <x:v>0.78</x:v>
      </x:c>
      <x:c r="AC165" s="21" t="n">
        <x:v>0</x:v>
      </x:c>
      <x:c r="AD165" s="21" t="n">
        <x:v>0</x:v>
      </x:c>
      <x:c r="AE165" s="21" t="n">
        <x:v>0</x:v>
      </x:c>
      <x:c r="AF165" s="21" t="n">
        <x:v>0</x:v>
      </x:c>
      <x:c r="AG165" s="21" t="n">
        <x:v>0</x:v>
      </x:c>
      <x:c r="AH165" s="21" t="n">
        <x:v>0</x:v>
      </x:c>
      <x:c r="AI165" s="21" t="n">
        <x:v>0</x:v>
      </x:c>
      <x:c r="AJ165" s="21" t="n">
        <x:v>0</x:v>
      </x:c>
      <x:c r="AK165" s="21" t="n">
        <x:v>0</x:v>
      </x:c>
      <x:c r="AL165" s="21" t="n">
        <x:v>0</x:v>
      </x:c>
      <x:c r="AM165" s="21" t="n">
        <x:v>1</x:v>
      </x:c>
      <x:c r="AN165" s="21" t="n">
        <x:v>1</x:v>
      </x:c>
      <x:c r="AO165" s="21" t="n">
        <x:v>1</x:v>
      </x:c>
      <x:c r="AP165" s="21" t="n">
        <x:v>0.96</x:v>
      </x:c>
      <x:c r="AQ165" s="21" t="n">
        <x:v>1.03</x:v>
      </x:c>
      <x:c r="AR165" s="21" t="n">
        <x:v>1</x:v>
      </x:c>
      <x:c r="AS165" s="21" t="n">
        <x:v>1</x:v>
      </x:c>
      <x:c r="AT165" s="21" t="n">
        <x:v>1</x:v>
      </x:c>
      <x:c r="AU165" s="21" t="n">
        <x:v>0</x:v>
      </x:c>
      <x:c r="AV165" s="22" t="n">
        <x:f>IF(C165="QB",N165*0.04+O165*4-P165*2+R165*0.1+S165*6,IF(OR(C165="RB",C165="WR",C165="TE"),U165*0.1+V165*6+R165*0.1+S165*6+X165*0.5+Y165*0.1+Z165*6,IF(C165="K",AC165*3+AD165*4+AE165*5+AF165,IF(C165="DST",AG165+AH165*2+AI165*6+AL165,0))))</x:f>
        <x:v>8.921113043478261</x:v>
      </x:c>
      <x:c r="AW165" s="22" t="n">
        <x:f>(AV165+AU165)*G165</x:f>
        <x:v>8.921113043478261</x:v>
      </x:c>
      <x:c r="AX165" s="22" t="n">
        <x:f>MAX(0,AW165*IF(C165="QB",0.68,IF(C165="RB",0.58,IF(C165="WR",0.52,IF(C165="TE",0.50,IF(C165="K",0.55,0.40))))))</x:f>
        <x:v>4.638978782608696</x:v>
      </x:c>
      <x:c r="AY165" s="22" t="n">
        <x:f>AW165*IF(C165="QB",1.32,IF(C165="RB",1.45,IF(C165="WR",1.55,IF(C165="TE",1.60,IF(C165="K",1.45,1.65)))))</x:f>
        <x:v>13.827725217391306</x:v>
      </x:c>
      <x:c r="AZ165" s="12" t="str">
        <x:v>High</x:v>
      </x:c>
      <x:c r="BA165" s="12" t="n">
        <x:v>3</x:v>
      </x:c>
      <x:c r="BB165" s="12" t="n">
        <x:f>COUNTIFS($C$2:$C$344,C165,$AW$2:$AW$344,"&gt;"&amp;AW165,$G$2:$G$344,"&gt;0")+COUNTIFS($C$2:C165,C165,$AW$2:AW165,AW165,$G$2:G165,"&gt;0")</x:f>
        <x:v>27</x:v>
      </x:c>
      <x:c r="BC165" s="12" t="n">
        <x:v>31</x:v>
      </x:c>
      <x:c r="BD165" s="12" t="str">
        <x:f>IF(BB165&lt;BC165,"↑",IF(BB165&gt;BC165,"↓","→"))</x:f>
        <x:v>↑</x:v>
      </x:c>
      <x:c r="BE165" s="23" t="str">
        <x:v>Fantasy Football Brief ROS baseline; official NFL schedule</x:v>
      </x:c>
      <x:c r="BF165" s="23" t="str">
        <x:v>Current role and availability baseline; all adjustment factors shown numerically</x:v>
      </x:c>
      <x:c r="BG165" s="23" t="str">
        <x:v>Material injury, depth-chart, or role change</x:v>
      </x:c>
      <x:c r="BH165" s="24" t="str">
        <x:v>2026-09-23 10:35 CT</x:v>
      </x:c>
    </x:row>
    <x:row r="166">
      <x:c r="A166" s="12" t="str">
        <x:v>Parker Washington</x:v>
      </x:c>
      <x:c r="B166" s="12" t="str">
        <x:v>JAC</x:v>
      </x:c>
      <x:c r="C166" s="12" t="str">
        <x:v>WR</x:v>
      </x:c>
      <x:c r="D166" s="12" t="str">
        <x:v>NE</x:v>
      </x:c>
      <x:c r="E166" s="12" t="str">
        <x:v>Home</x:v>
      </x:c>
      <x:c r="F166" s="12" t="str">
        <x:v>2026-09-27</x:v>
      </x:c>
      <x:c r="G166" s="19" t="n">
        <x:v>1</x:v>
      </x:c>
      <x:c r="H166" s="20" t="str">
        <x:v>ACTIVE</x:v>
      </x:c>
      <x:c r="I166" s="20" t="n">
        <x:v>52</x:v>
      </x:c>
      <x:c r="J166" s="20" t="str">
        <x:v>Routes</x:v>
      </x:c>
      <x:c r="K166" s="20" t="n">
        <x:v>26.357487922705317</x:v>
      </x:c>
      <x:c r="L166" s="21" t="n">
        <x:v>0</x:v>
      </x:c>
      <x:c r="M166" s="21" t="n">
        <x:v>0</x:v>
      </x:c>
      <x:c r="N166" s="21" t="n">
        <x:v>0</x:v>
      </x:c>
      <x:c r="O166" s="21" t="n">
        <x:v>0</x:v>
      </x:c>
      <x:c r="P166" s="21" t="n">
        <x:v>0</x:v>
      </x:c>
      <x:c r="Q166" s="21" t="n">
        <x:v>0.170048309178744</x:v>
      </x:c>
      <x:c r="R166" s="21" t="n">
        <x:v>1.6834782608695655</x:v>
      </x:c>
      <x:c r="S166" s="21" t="n">
        <x:v>0</x:v>
      </x:c>
      <x:c r="T166" s="21" t="n">
        <x:v>0</x:v>
      </x:c>
      <x:c r="U166" s="21" t="n">
        <x:v>0</x:v>
      </x:c>
      <x:c r="V166" s="21" t="n">
        <x:v>0</x:v>
      </x:c>
      <x:c r="W166" s="21" t="n">
        <x:v>5.951690821256039</x:v>
      </x:c>
      <x:c r="X166" s="21" t="n">
        <x:v>3.8260869565217397</x:v>
      </x:c>
      <x:c r="Y166" s="21" t="n">
        <x:v>48.8208695652174</x:v>
      </x:c>
      <x:c r="Z166" s="21" t="n">
        <x:v>0.29460869565217396</x:v>
      </x:c>
      <x:c r="AA166" s="21" t="n">
        <x:v>26.357487922705317</x:v>
      </x:c>
      <x:c r="AB166" s="21" t="n">
        <x:v>0.78</x:v>
      </x:c>
      <x:c r="AC166" s="21" t="n">
        <x:v>0</x:v>
      </x:c>
      <x:c r="AD166" s="21" t="n">
        <x:v>0</x:v>
      </x:c>
      <x:c r="AE166" s="21" t="n">
        <x:v>0</x:v>
      </x:c>
      <x:c r="AF166" s="21" t="n">
        <x:v>0</x:v>
      </x:c>
      <x:c r="AG166" s="21" t="n">
        <x:v>0</x:v>
      </x:c>
      <x:c r="AH166" s="21" t="n">
        <x:v>0</x:v>
      </x:c>
      <x:c r="AI166" s="21" t="n">
        <x:v>0</x:v>
      </x:c>
      <x:c r="AJ166" s="21" t="n">
        <x:v>0</x:v>
      </x:c>
      <x:c r="AK166" s="21" t="n">
        <x:v>0</x:v>
      </x:c>
      <x:c r="AL166" s="21" t="n">
        <x:v>0</x:v>
      </x:c>
      <x:c r="AM166" s="21" t="n">
        <x:v>1</x:v>
      </x:c>
      <x:c r="AN166" s="21" t="n">
        <x:v>1</x:v>
      </x:c>
      <x:c r="AO166" s="21" t="n">
        <x:v>1</x:v>
      </x:c>
      <x:c r="AP166" s="21" t="n">
        <x:v>1</x:v>
      </x:c>
      <x:c r="AQ166" s="21" t="n">
        <x:v>0.99</x:v>
      </x:c>
      <x:c r="AR166" s="21" t="n">
        <x:v>1</x:v>
      </x:c>
      <x:c r="AS166" s="21" t="n">
        <x:v>1</x:v>
      </x:c>
      <x:c r="AT166" s="21" t="n">
        <x:v>1</x:v>
      </x:c>
      <x:c r="AU166" s="21" t="n">
        <x:v>0</x:v>
      </x:c>
      <x:c r="AV166" s="22" t="n">
        <x:f>IF(C166="QB",N166*0.04+O166*4-P166*2+R166*0.1+S166*6,IF(OR(C166="RB",C166="WR",C166="TE"),U166*0.1+V166*6+R166*0.1+S166*6+X166*0.5+Y166*0.1+Z166*6,IF(C166="K",AC166*3+AD166*4+AE166*5+AF166,IF(C166="DST",AG166+AH166*2+AI166*6+AL166,0))))</x:f>
        <x:v>8.73113043478261</x:v>
      </x:c>
      <x:c r="AW166" s="22" t="n">
        <x:f>(AV166+AU166)*G166</x:f>
        <x:v>8.73113043478261</x:v>
      </x:c>
      <x:c r="AX166" s="22" t="n">
        <x:f>MAX(0,AW166*IF(C166="QB",0.68,IF(C166="RB",0.58,IF(C166="WR",0.52,IF(C166="TE",0.50,IF(C166="K",0.55,0.40))))))</x:f>
        <x:v>4.5401878260869575</x:v>
      </x:c>
      <x:c r="AY166" s="22" t="n">
        <x:f>AW166*IF(C166="QB",1.32,IF(C166="RB",1.45,IF(C166="WR",1.55,IF(C166="TE",1.60,IF(C166="K",1.45,1.65)))))</x:f>
        <x:v>13.533252173913047</x:v>
      </x:c>
      <x:c r="AZ166" s="12" t="str">
        <x:v>High</x:v>
      </x:c>
      <x:c r="BA166" s="12" t="n">
        <x:v>3</x:v>
      </x:c>
      <x:c r="BB166" s="12" t="n">
        <x:f>COUNTIFS($C$2:$C$344,C166,$AW$2:$AW$344,"&gt;"&amp;AW166,$G$2:$G$344,"&gt;0")+COUNTIFS($C$2:C166,C166,$AW$2:AW166,AW166,$G$2:G166,"&gt;0")</x:f>
        <x:v>28</x:v>
      </x:c>
      <x:c r="BC166" s="12" t="n">
        <x:v>32</x:v>
      </x:c>
      <x:c r="BD166" s="12" t="str">
        <x:f>IF(BB166&lt;BC166,"↑",IF(BB166&gt;BC166,"↓","→"))</x:f>
        <x:v>↑</x:v>
      </x:c>
      <x:c r="BE166" s="23" t="str">
        <x:v>Fantasy Football Brief ROS baseline; official NFL schedule</x:v>
      </x:c>
      <x:c r="BF166" s="23" t="str">
        <x:v>Current role and availability baseline; all adjustment factors shown numerically</x:v>
      </x:c>
      <x:c r="BG166" s="23" t="str">
        <x:v>Material injury, depth-chart, or role change</x:v>
      </x:c>
      <x:c r="BH166" s="24" t="str">
        <x:v>2026-09-23 10:35 CT</x:v>
      </x:c>
    </x:row>
    <x:row r="167">
      <x:c r="A167" s="12" t="str">
        <x:v>Brian Thomas Jr.</x:v>
      </x:c>
      <x:c r="B167" s="12" t="str">
        <x:v>JAC</x:v>
      </x:c>
      <x:c r="C167" s="12" t="str">
        <x:v>WR</x:v>
      </x:c>
      <x:c r="D167" s="12" t="str">
        <x:v>NE</x:v>
      </x:c>
      <x:c r="E167" s="12" t="str">
        <x:v>Home</x:v>
      </x:c>
      <x:c r="F167" s="12" t="str">
        <x:v>2026-09-27</x:v>
      </x:c>
      <x:c r="G167" s="19" t="n">
        <x:v>1</x:v>
      </x:c>
      <x:c r="H167" s="20" t="str">
        <x:v>ACTIVE</x:v>
      </x:c>
      <x:c r="I167" s="20" t="n">
        <x:v>52</x:v>
      </x:c>
      <x:c r="J167" s="20" t="str">
        <x:v>Routes</x:v>
      </x:c>
      <x:c r="K167" s="20" t="n">
        <x:v>25.458937198067634</x:v>
      </x:c>
      <x:c r="L167" s="21" t="n">
        <x:v>0</x:v>
      </x:c>
      <x:c r="M167" s="21" t="n">
        <x:v>0</x:v>
      </x:c>
      <x:c r="N167" s="21" t="n">
        <x:v>0</x:v>
      </x:c>
      <x:c r="O167" s="21" t="n">
        <x:v>0</x:v>
      </x:c>
      <x:c r="P167" s="21" t="n">
        <x:v>0</x:v>
      </x:c>
      <x:c r="Q167" s="21" t="n">
        <x:v>0.1642512077294686</x:v>
      </x:c>
      <x:c r="R167" s="21" t="n">
        <x:v>1.626086956521739</x:v>
      </x:c>
      <x:c r="S167" s="21" t="n">
        <x:v>0</x:v>
      </x:c>
      <x:c r="T167" s="21" t="n">
        <x:v>0</x:v>
      </x:c>
      <x:c r="U167" s="21" t="n">
        <x:v>0</x:v>
      </x:c>
      <x:c r="V167" s="21" t="n">
        <x:v>0</x:v>
      </x:c>
      <x:c r="W167" s="21" t="n">
        <x:v>5.748792270531401</x:v>
      </x:c>
      <x:c r="X167" s="21" t="n">
        <x:v>3.6956521739130435</x:v>
      </x:c>
      <x:c r="Y167" s="21" t="n">
        <x:v>47.15652173913043</x:v>
      </x:c>
      <x:c r="Z167" s="21" t="n">
        <x:v>0.28456521739130436</x:v>
      </x:c>
      <x:c r="AA167" s="21" t="n">
        <x:v>25.458937198067634</x:v>
      </x:c>
      <x:c r="AB167" s="21" t="n">
        <x:v>0.78</x:v>
      </x:c>
      <x:c r="AC167" s="21" t="n">
        <x:v>0</x:v>
      </x:c>
      <x:c r="AD167" s="21" t="n">
        <x:v>0</x:v>
      </x:c>
      <x:c r="AE167" s="21" t="n">
        <x:v>0</x:v>
      </x:c>
      <x:c r="AF167" s="21" t="n">
        <x:v>0</x:v>
      </x:c>
      <x:c r="AG167" s="21" t="n">
        <x:v>0</x:v>
      </x:c>
      <x:c r="AH167" s="21" t="n">
        <x:v>0</x:v>
      </x:c>
      <x:c r="AI167" s="21" t="n">
        <x:v>0</x:v>
      </x:c>
      <x:c r="AJ167" s="21" t="n">
        <x:v>0</x:v>
      </x:c>
      <x:c r="AK167" s="21" t="n">
        <x:v>0</x:v>
      </x:c>
      <x:c r="AL167" s="21" t="n">
        <x:v>0</x:v>
      </x:c>
      <x:c r="AM167" s="21" t="n">
        <x:v>1</x:v>
      </x:c>
      <x:c r="AN167" s="21" t="n">
        <x:v>1</x:v>
      </x:c>
      <x:c r="AO167" s="21" t="n">
        <x:v>1</x:v>
      </x:c>
      <x:c r="AP167" s="21" t="n">
        <x:v>1</x:v>
      </x:c>
      <x:c r="AQ167" s="21" t="n">
        <x:v>0.99</x:v>
      </x:c>
      <x:c r="AR167" s="21" t="n">
        <x:v>1</x:v>
      </x:c>
      <x:c r="AS167" s="21" t="n">
        <x:v>1</x:v>
      </x:c>
      <x:c r="AT167" s="21" t="n">
        <x:v>1</x:v>
      </x:c>
      <x:c r="AU167" s="21" t="n">
        <x:v>0</x:v>
      </x:c>
      <x:c r="AV167" s="22" t="n">
        <x:f>IF(C167="QB",N167*0.04+O167*4-P167*2+R167*0.1+S167*6,IF(OR(C167="RB",C167="WR",C167="TE"),U167*0.1+V167*6+R167*0.1+S167*6+X167*0.5+Y167*0.1+Z167*6,IF(C167="K",AC167*3+AD167*4+AE167*5+AF167,IF(C167="DST",AG167+AH167*2+AI167*6+AL167,0))))</x:f>
        <x:v>8.433478260869565</x:v>
      </x:c>
      <x:c r="AW167" s="22" t="n">
        <x:f>(AV167+AU167)*G167</x:f>
        <x:v>8.433478260869565</x:v>
      </x:c>
      <x:c r="AX167" s="22" t="n">
        <x:f>MAX(0,AW167*IF(C167="QB",0.68,IF(C167="RB",0.58,IF(C167="WR",0.52,IF(C167="TE",0.50,IF(C167="K",0.55,0.40))))))</x:f>
        <x:v>4.385408695652174</x:v>
      </x:c>
      <x:c r="AY167" s="22" t="n">
        <x:f>AW167*IF(C167="QB",1.32,IF(C167="RB",1.45,IF(C167="WR",1.55,IF(C167="TE",1.60,IF(C167="K",1.45,1.65)))))</x:f>
        <x:v>13.071891304347826</x:v>
      </x:c>
      <x:c r="AZ167" s="12" t="str">
        <x:v>High</x:v>
      </x:c>
      <x:c r="BA167" s="12" t="n">
        <x:v>3</x:v>
      </x:c>
      <x:c r="BB167" s="12" t="n">
        <x:f>COUNTIFS($C$2:$C$344,C167,$AW$2:$AW$344,"&gt;"&amp;AW167,$G$2:$G$344,"&gt;0")+COUNTIFS($C$2:C167,C167,$AW$2:AW167,AW167,$G$2:G167,"&gt;0")</x:f>
        <x:v>31</x:v>
      </x:c>
      <x:c r="BC167" s="12" t="n">
        <x:v>33</x:v>
      </x:c>
      <x:c r="BD167" s="12" t="str">
        <x:f>IF(BB167&lt;BC167,"↑",IF(BB167&gt;BC167,"↓","→"))</x:f>
        <x:v>↑</x:v>
      </x:c>
      <x:c r="BE167" s="23" t="str">
        <x:v>Fantasy Football Brief ROS baseline; official NFL schedule</x:v>
      </x:c>
      <x:c r="BF167" s="23" t="str">
        <x:v>Current role and availability baseline; all adjustment factors shown numerically</x:v>
      </x:c>
      <x:c r="BG167" s="23" t="str">
        <x:v>Material injury, depth-chart, or role change</x:v>
      </x:c>
      <x:c r="BH167" s="24" t="str">
        <x:v>2026-09-23 10:35 CT</x:v>
      </x:c>
    </x:row>
    <x:row r="168">
      <x:c r="A168" s="12" t="str">
        <x:v>Michael Pittman Jr.</x:v>
      </x:c>
      <x:c r="B168" s="12" t="str">
        <x:v>PIT</x:v>
      </x:c>
      <x:c r="C168" s="12" t="str">
        <x:v>WR</x:v>
      </x:c>
      <x:c r="D168" s="12" t="str">
        <x:v>CIN</x:v>
      </x:c>
      <x:c r="E168" s="12" t="str">
        <x:v>Home</x:v>
      </x:c>
      <x:c r="F168" s="12" t="str">
        <x:v>2026-09-27</x:v>
      </x:c>
      <x:c r="G168" s="19" t="n">
        <x:v>0.9333333333333333</x:v>
      </x:c>
      <x:c r="H168" s="20" t="str">
        <x:v>ACTIVE</x:v>
      </x:c>
      <x:c r="I168" s="20" t="n">
        <x:v>52.416000000000004</x:v>
      </x:c>
      <x:c r="J168" s="20" t="str">
        <x:v>Routes</x:v>
      </x:c>
      <x:c r="K168" s="20" t="n">
        <x:v>26.848695652173916</x:v>
      </x:c>
      <x:c r="L168" s="21" t="n">
        <x:v>0</x:v>
      </x:c>
      <x:c r="M168" s="21" t="n">
        <x:v>0</x:v>
      </x:c>
      <x:c r="N168" s="21" t="n">
        <x:v>0</x:v>
      </x:c>
      <x:c r="O168" s="21" t="n">
        <x:v>0</x:v>
      </x:c>
      <x:c r="P168" s="21" t="n">
        <x:v>0</x:v>
      </x:c>
      <x:c r="Q168" s="21" t="n">
        <x:v>0.17321739130434785</x:v>
      </x:c>
      <x:c r="R168" s="21" t="n">
        <x:v>1.7148521739130438</x:v>
      </x:c>
      <x:c r="S168" s="21" t="n">
        <x:v>0</x:v>
      </x:c>
      <x:c r="T168" s="21" t="n">
        <x:v>0</x:v>
      </x:c>
      <x:c r="U168" s="21" t="n">
        <x:v>0</x:v>
      </x:c>
      <x:c r="V168" s="21" t="n">
        <x:v>0</x:v>
      </x:c>
      <x:c r="W168" s="21" t="n">
        <x:v>6.062608695652175</x:v>
      </x:c>
      <x:c r="X168" s="21" t="n">
        <x:v>3.8973913043478268</x:v>
      </x:c>
      <x:c r="Y168" s="21" t="n">
        <x:v>49.73071304347827</x:v>
      </x:c>
      <x:c r="Z168" s="21" t="n">
        <x:v>0.3000991304347826</x:v>
      </x:c>
      <x:c r="AA168" s="21" t="n">
        <x:v>26.848695652173916</x:v>
      </x:c>
      <x:c r="AB168" s="21" t="n">
        <x:v>0.78</x:v>
      </x:c>
      <x:c r="AC168" s="21" t="n">
        <x:v>0</x:v>
      </x:c>
      <x:c r="AD168" s="21" t="n">
        <x:v>0</x:v>
      </x:c>
      <x:c r="AE168" s="21" t="n">
        <x:v>0</x:v>
      </x:c>
      <x:c r="AF168" s="21" t="n">
        <x:v>0</x:v>
      </x:c>
      <x:c r="AG168" s="21" t="n">
        <x:v>0</x:v>
      </x:c>
      <x:c r="AH168" s="21" t="n">
        <x:v>0</x:v>
      </x:c>
      <x:c r="AI168" s="21" t="n">
        <x:v>0</x:v>
      </x:c>
      <x:c r="AJ168" s="21" t="n">
        <x:v>0</x:v>
      </x:c>
      <x:c r="AK168" s="21" t="n">
        <x:v>0</x:v>
      </x:c>
      <x:c r="AL168" s="21" t="n">
        <x:v>0</x:v>
      </x:c>
      <x:c r="AM168" s="21" t="n">
        <x:v>0.9333333333333333</x:v>
      </x:c>
      <x:c r="AN168" s="21" t="n">
        <x:v>1</x:v>
      </x:c>
      <x:c r="AO168" s="21" t="n">
        <x:v>1.08</x:v>
      </x:c>
      <x:c r="AP168" s="21" t="n">
        <x:v>0.99</x:v>
      </x:c>
      <x:c r="AQ168" s="21" t="n">
        <x:v>1</x:v>
      </x:c>
      <x:c r="AR168" s="21" t="n">
        <x:v>1</x:v>
      </x:c>
      <x:c r="AS168" s="21" t="n">
        <x:v>1</x:v>
      </x:c>
      <x:c r="AT168" s="21" t="n">
        <x:v>1</x:v>
      </x:c>
      <x:c r="AU168" s="21" t="n">
        <x:v>0</x:v>
      </x:c>
      <x:c r="AV168" s="22" t="n">
        <x:f>IF(C168="QB",N168*0.04+O168*4-P168*2+R168*0.1+S168*6,IF(OR(C168="RB",C168="WR",C168="TE"),U168*0.1+V168*6+R168*0.1+S168*6+X168*0.5+Y168*0.1+Z168*6,IF(C168="K",AC168*3+AD168*4+AE168*5+AF168,IF(C168="DST",AG168+AH168*2+AI168*6+AL168,0))))</x:f>
        <x:v>8.89384695652174</x:v>
      </x:c>
      <x:c r="AW168" s="22" t="n">
        <x:f>(AV168+AU168)*G168</x:f>
        <x:v>8.300923826086958</x:v>
      </x:c>
      <x:c r="AX168" s="22" t="n">
        <x:f>MAX(0,AW168*IF(C168="QB",0.68,IF(C168="RB",0.58,IF(C168="WR",0.52,IF(C168="TE",0.50,IF(C168="K",0.55,0.40))))))</x:f>
        <x:v>4.316480389565219</x:v>
      </x:c>
      <x:c r="AY168" s="22" t="n">
        <x:f>AW168*IF(C168="QB",1.32,IF(C168="RB",1.45,IF(C168="WR",1.55,IF(C168="TE",1.60,IF(C168="K",1.45,1.65)))))</x:f>
        <x:v>12.866431930434786</x:v>
      </x:c>
      <x:c r="AZ168" s="12" t="str">
        <x:v>Moderate</x:v>
      </x:c>
      <x:c r="BA168" s="12" t="n">
        <x:v>3</x:v>
      </x:c>
      <x:c r="BB168" s="12" t="n">
        <x:f>COUNTIFS($C$2:$C$344,C168,$AW$2:$AW$344,"&gt;"&amp;AW168,$G$2:$G$344,"&gt;0")+COUNTIFS($C$2:C168,C168,$AW$2:AW168,AW168,$G$2:G168,"&gt;0")</x:f>
        <x:v>32</x:v>
      </x:c>
      <x:c r="BC168" s="12" t="n">
        <x:v>34</x:v>
      </x:c>
      <x:c r="BD168" s="12" t="str">
        <x:f>IF(BB168&lt;BC168,"↑",IF(BB168&gt;BC168,"↓","→"))</x:f>
        <x:v>↑</x:v>
      </x:c>
      <x:c r="BE168" s="23" t="str">
        <x:v>Fantasy Football Brief ROS baseline; official NFL schedule</x:v>
      </x:c>
      <x:c r="BF168" s="23" t="str">
        <x:v>Target and route concentration rises with Pierce out several weeks.</x:v>
      </x:c>
      <x:c r="BG168" s="23" t="str">
        <x:v>Slayton earns a full-time route role or Pierce returns</x:v>
      </x:c>
      <x:c r="BH168" s="24" t="str">
        <x:v>2026-09-23 10:35 CT</x:v>
      </x:c>
    </x:row>
    <x:row r="169">
      <x:c r="A169" s="12" t="str">
        <x:v>Michael Wilson</x:v>
      </x:c>
      <x:c r="B169" s="12" t="str">
        <x:v>ARI</x:v>
      </x:c>
      <x:c r="C169" s="12" t="str">
        <x:v>WR</x:v>
      </x:c>
      <x:c r="D169" s="12" t="str">
        <x:v>SF</x:v>
      </x:c>
      <x:c r="E169" s="12" t="str">
        <x:v>Away</x:v>
      </x:c>
      <x:c r="F169" s="12" t="str">
        <x:v>2026-09-27</x:v>
      </x:c>
      <x:c r="G169" s="19" t="n">
        <x:v>1</x:v>
      </x:c>
      <x:c r="H169" s="20" t="str">
        <x:v>ACTIVE</x:v>
      </x:c>
      <x:c r="I169" s="20" t="n">
        <x:v>52</x:v>
      </x:c>
      <x:c r="J169" s="20" t="str">
        <x:v>Routes</x:v>
      </x:c>
      <x:c r="K169" s="20" t="n">
        <x:v>25.758454106280194</x:v>
      </x:c>
      <x:c r="L169" s="21" t="n">
        <x:v>0</x:v>
      </x:c>
      <x:c r="M169" s="21" t="n">
        <x:v>0</x:v>
      </x:c>
      <x:c r="N169" s="21" t="n">
        <x:v>0</x:v>
      </x:c>
      <x:c r="O169" s="21" t="n">
        <x:v>0</x:v>
      </x:c>
      <x:c r="P169" s="21" t="n">
        <x:v>0</x:v>
      </x:c>
      <x:c r="Q169" s="21" t="n">
        <x:v>0.16618357487922708</x:v>
      </x:c>
      <x:c r="R169" s="21" t="n">
        <x:v>1.5621256038647342</x:v>
      </x:c>
      <x:c r="S169" s="21" t="n">
        <x:v>0</x:v>
      </x:c>
      <x:c r="T169" s="21" t="n">
        <x:v>0</x:v>
      </x:c>
      <x:c r="U169" s="21" t="n">
        <x:v>0</x:v>
      </x:c>
      <x:c r="V169" s="21" t="n">
        <x:v>0</x:v>
      </x:c>
      <x:c r="W169" s="21" t="n">
        <x:v>5.816425120772947</x:v>
      </x:c>
      <x:c r="X169" s="21" t="n">
        <x:v>3.739130434782609</x:v>
      </x:c>
      <x:c r="Y169" s="21" t="n">
        <x:v>45.301642512077294</x:v>
      </x:c>
      <x:c r="Z169" s="21" t="n">
        <x:v>0.2733719806763285</x:v>
      </x:c>
      <x:c r="AA169" s="21" t="n">
        <x:v>25.758454106280194</x:v>
      </x:c>
      <x:c r="AB169" s="21" t="n">
        <x:v>0.78</x:v>
      </x:c>
      <x:c r="AC169" s="21" t="n">
        <x:v>0</x:v>
      </x:c>
      <x:c r="AD169" s="21" t="n">
        <x:v>0</x:v>
      </x:c>
      <x:c r="AE169" s="21" t="n">
        <x:v>0</x:v>
      </x:c>
      <x:c r="AF169" s="21" t="n">
        <x:v>0</x:v>
      </x:c>
      <x:c r="AG169" s="21" t="n">
        <x:v>0</x:v>
      </x:c>
      <x:c r="AH169" s="21" t="n">
        <x:v>0</x:v>
      </x:c>
      <x:c r="AI169" s="21" t="n">
        <x:v>0</x:v>
      </x:c>
      <x:c r="AJ169" s="21" t="n">
        <x:v>0</x:v>
      </x:c>
      <x:c r="AK169" s="21" t="n">
        <x:v>0</x:v>
      </x:c>
      <x:c r="AL169" s="21" t="n">
        <x:v>0</x:v>
      </x:c>
      <x:c r="AM169" s="21" t="n">
        <x:v>1</x:v>
      </x:c>
      <x:c r="AN169" s="21" t="n">
        <x:v>1</x:v>
      </x:c>
      <x:c r="AO169" s="21" t="n">
        <x:v>1</x:v>
      </x:c>
      <x:c r="AP169" s="21" t="n">
        <x:v>1</x:v>
      </x:c>
      <x:c r="AQ169" s="21" t="n">
        <x:v>0.94</x:v>
      </x:c>
      <x:c r="AR169" s="21" t="n">
        <x:v>1</x:v>
      </x:c>
      <x:c r="AS169" s="21" t="n">
        <x:v>1</x:v>
      </x:c>
      <x:c r="AT169" s="21" t="n">
        <x:v>1</x:v>
      </x:c>
      <x:c r="AU169" s="21" t="n">
        <x:v>0</x:v>
      </x:c>
      <x:c r="AV169" s="22" t="n">
        <x:f>IF(C169="QB",N169*0.04+O169*4-P169*2+R169*0.1+S169*6,IF(OR(C169="RB",C169="WR",C169="TE"),U169*0.1+V169*6+R169*0.1+S169*6+X169*0.5+Y169*0.1+Z169*6,IF(C169="K",AC169*3+AD169*4+AE169*5+AF169,IF(C169="DST",AG169+AH169*2+AI169*6+AL169,0))))</x:f>
        <x:v>8.196173913043479</x:v>
      </x:c>
      <x:c r="AW169" s="22" t="n">
        <x:f>(AV169+AU169)*G169</x:f>
        <x:v>8.196173913043479</x:v>
      </x:c>
      <x:c r="AX169" s="22" t="n">
        <x:f>MAX(0,AW169*IF(C169="QB",0.68,IF(C169="RB",0.58,IF(C169="WR",0.52,IF(C169="TE",0.50,IF(C169="K",0.55,0.40))))))</x:f>
        <x:v>4.262010434782609</x:v>
      </x:c>
      <x:c r="AY169" s="22" t="n">
        <x:f>AW169*IF(C169="QB",1.32,IF(C169="RB",1.45,IF(C169="WR",1.55,IF(C169="TE",1.60,IF(C169="K",1.45,1.65)))))</x:f>
        <x:v>12.704069565217393</x:v>
      </x:c>
      <x:c r="AZ169" s="12" t="str">
        <x:v>High</x:v>
      </x:c>
      <x:c r="BA169" s="12" t="n">
        <x:v>3</x:v>
      </x:c>
      <x:c r="BB169" s="12" t="n">
        <x:f>COUNTIFS($C$2:$C$344,C169,$AW$2:$AW$344,"&gt;"&amp;AW169,$G$2:$G$344,"&gt;0")+COUNTIFS($C$2:C169,C169,$AW$2:AW169,AW169,$G$2:G169,"&gt;0")</x:f>
        <x:v>33</x:v>
      </x:c>
      <x:c r="BC169" s="12" t="n">
        <x:v>35</x:v>
      </x:c>
      <x:c r="BD169" s="12" t="str">
        <x:f>IF(BB169&lt;BC169,"↑",IF(BB169&gt;BC169,"↓","→"))</x:f>
        <x:v>↑</x:v>
      </x:c>
      <x:c r="BE169" s="23" t="str">
        <x:v>Fantasy Football Brief ROS baseline; official NFL schedule</x:v>
      </x:c>
      <x:c r="BF169" s="23" t="str">
        <x:v>Current role and availability baseline; all adjustment factors shown numerically</x:v>
      </x:c>
      <x:c r="BG169" s="23" t="str">
        <x:v>Material injury, depth-chart, or role change</x:v>
      </x:c>
      <x:c r="BH169" s="24" t="str">
        <x:v>2026-09-23 10:35 CT</x:v>
      </x:c>
    </x:row>
    <x:row r="170">
      <x:c r="A170" s="12" t="str">
        <x:v>Jayden Reed</x:v>
      </x:c>
      <x:c r="B170" s="12" t="str">
        <x:v>GB</x:v>
      </x:c>
      <x:c r="C170" s="12" t="str">
        <x:v>WR</x:v>
      </x:c>
      <x:c r="D170" s="12" t="str">
        <x:v>ATL</x:v>
      </x:c>
      <x:c r="E170" s="12" t="str">
        <x:v>Home</x:v>
      </x:c>
      <x:c r="F170" s="12" t="str">
        <x:v>2026-09-24</x:v>
      </x:c>
      <x:c r="G170" s="19" t="n">
        <x:v>0</x:v>
      </x:c>
      <x:c r="H170" s="20" t="str">
        <x:v>OUT</x:v>
      </x:c>
      <x:c r="I170" s="20" t="n">
        <x:v>52</x:v>
      </x:c>
      <x:c r="J170" s="20" t="str">
        <x:v>Routes</x:v>
      </x:c>
      <x:c r="K170" s="20" t="n">
        <x:v>23.96135265700483</x:v>
      </x:c>
      <x:c r="L170" s="21" t="n">
        <x:v>0</x:v>
      </x:c>
      <x:c r="M170" s="21" t="n">
        <x:v>0</x:v>
      </x:c>
      <x:c r="N170" s="21" t="n">
        <x:v>0</x:v>
      </x:c>
      <x:c r="O170" s="21" t="n">
        <x:v>0</x:v>
      </x:c>
      <x:c r="P170" s="21" t="n">
        <x:v>0</x:v>
      </x:c>
      <x:c r="Q170" s="21" t="n">
        <x:v>0.15458937198067635</x:v>
      </x:c>
      <x:c r="R170" s="21" t="n">
        <x:v>1.5768115942028986</x:v>
      </x:c>
      <x:c r="S170" s="21" t="n">
        <x:v>0</x:v>
      </x:c>
      <x:c r="T170" s="21" t="n">
        <x:v>0</x:v>
      </x:c>
      <x:c r="U170" s="21" t="n">
        <x:v>0</x:v>
      </x:c>
      <x:c r="V170" s="21" t="n">
        <x:v>0</x:v>
      </x:c>
      <x:c r="W170" s="21" t="n">
        <x:v>5.4106280193236715</x:v>
      </x:c>
      <x:c r="X170" s="21" t="n">
        <x:v>3.4782608695652173</x:v>
      </x:c>
      <x:c r="Y170" s="21" t="n">
        <x:v>45.72753623188406</x:v>
      </x:c>
      <x:c r="Z170" s="21" t="n">
        <x:v>0.27594202898550724</x:v>
      </x:c>
      <x:c r="AA170" s="21" t="n">
        <x:v>23.96135265700483</x:v>
      </x:c>
      <x:c r="AB170" s="21" t="n">
        <x:v>0.78</x:v>
      </x:c>
      <x:c r="AC170" s="21" t="n">
        <x:v>0</x:v>
      </x:c>
      <x:c r="AD170" s="21" t="n">
        <x:v>0</x:v>
      </x:c>
      <x:c r="AE170" s="21" t="n">
        <x:v>0</x:v>
      </x:c>
      <x:c r="AF170" s="21" t="n">
        <x:v>0</x:v>
      </x:c>
      <x:c r="AG170" s="21" t="n">
        <x:v>0</x:v>
      </x:c>
      <x:c r="AH170" s="21" t="n">
        <x:v>0</x:v>
      </x:c>
      <x:c r="AI170" s="21" t="n">
        <x:v>0</x:v>
      </x:c>
      <x:c r="AJ170" s="21" t="n">
        <x:v>0</x:v>
      </x:c>
      <x:c r="AK170" s="21" t="n">
        <x:v>0</x:v>
      </x:c>
      <x:c r="AL170" s="21" t="n">
        <x:v>0</x:v>
      </x:c>
      <x:c r="AM170" s="21" t="n">
        <x:v>1</x:v>
      </x:c>
      <x:c r="AN170" s="21" t="n">
        <x:v>1</x:v>
      </x:c>
      <x:c r="AO170" s="21" t="n">
        <x:v>1</x:v>
      </x:c>
      <x:c r="AP170" s="21" t="n">
        <x:v>1.02</x:v>
      </x:c>
      <x:c r="AQ170" s="21" t="n">
        <x:v>1</x:v>
      </x:c>
      <x:c r="AR170" s="21" t="n">
        <x:v>1</x:v>
      </x:c>
      <x:c r="AS170" s="21" t="n">
        <x:v>1</x:v>
      </x:c>
      <x:c r="AT170" s="21" t="n">
        <x:v>1</x:v>
      </x:c>
      <x:c r="AU170" s="21" t="n">
        <x:v>0</x:v>
      </x:c>
      <x:c r="AV170" s="22" t="n">
        <x:f>IF(C170="QB",N170*0.04+O170*4-P170*2+R170*0.1+S170*6,IF(OR(C170="RB",C170="WR",C170="TE"),U170*0.1+V170*6+R170*0.1+S170*6+X170*0.5+Y170*0.1+Z170*6,IF(C170="K",AC170*3+AD170*4+AE170*5+AF170,IF(C170="DST",AG170+AH170*2+AI170*6+AL170,0))))</x:f>
        <x:v>8.125217391304348</x:v>
      </x:c>
      <x:c r="AW170" s="22" t="n">
        <x:f>(AV170+AU170)*G170</x:f>
        <x:v>0</x:v>
      </x:c>
      <x:c r="AX170" s="22" t="n">
        <x:f>MAX(0,AW170*IF(C170="QB",0.68,IF(C170="RB",0.58,IF(C170="WR",0.52,IF(C170="TE",0.50,IF(C170="K",0.55,0.40))))))</x:f>
        <x:v>0</x:v>
      </x:c>
      <x:c r="AY170" s="22" t="n">
        <x:f>AW170*IF(C170="QB",1.32,IF(C170="RB",1.45,IF(C170="WR",1.55,IF(C170="TE",1.60,IF(C170="K",1.45,1.65)))))</x:f>
        <x:v>0</x:v>
      </x:c>
      <x:c r="AZ170" s="12" t="str">
        <x:v>High</x:v>
      </x:c>
      <x:c r="BA170" s="12" t="n">
        <x:v>3</x:v>
      </x:c>
      <x:c r="BB170" s="12"/>
      <x:c r="BC170" s="12" t="n">
        <x:v>40</x:v>
      </x:c>
      <x:c r="BD170" s="12" t="str">
        <x:v>↑</x:v>
      </x:c>
      <x:c r="BE170" s="23" t="str">
        <x:v>NFL/Packers final report: neck injury; ruled out Week 3; https://www.nfl.com/injuries/</x:v>
      </x:c>
      <x:c r="BF170" s="23" t="str">
        <x:v>Conditional active line retained for audit; probability-weighted Week 3 projection is zero. Vacated 24 routes and 5.4 targets reallocated across direct and secondary beneficiaries.</x:v>
      </x:c>
      <x:c r="BG170" s="23" t="str">
        <x:v>Week 4 practice participation and medical update</x:v>
      </x:c>
      <x:c r="BH170" s="24" t="str">
        <x:v>2026-09-24 1:18 PM CT</x:v>
      </x:c>
    </x:row>
    <x:row r="171">
      <x:c r="A171" s="12" t="str">
        <x:v>Jordan Addison</x:v>
      </x:c>
      <x:c r="B171" s="12" t="str">
        <x:v>MIN</x:v>
      </x:c>
      <x:c r="C171" s="12" t="str">
        <x:v>WR</x:v>
      </x:c>
      <x:c r="D171" s="12" t="str">
        <x:v>TB</x:v>
      </x:c>
      <x:c r="E171" s="12" t="str">
        <x:v>Away</x:v>
      </x:c>
      <x:c r="F171" s="12" t="str">
        <x:v>2026-09-27</x:v>
      </x:c>
      <x:c r="G171" s="19" t="n">
        <x:v>1</x:v>
      </x:c>
      <x:c r="H171" s="20" t="str">
        <x:v>ACTIVE</x:v>
      </x:c>
      <x:c r="I171" s="20" t="n">
        <x:v>52</x:v>
      </x:c>
      <x:c r="J171" s="20" t="str">
        <x:v>Routes</x:v>
      </x:c>
      <x:c r="K171" s="20" t="n">
        <x:v>23.36231884057971</x:v>
      </x:c>
      <x:c r="L171" s="21" t="n">
        <x:v>0</x:v>
      </x:c>
      <x:c r="M171" s="21" t="n">
        <x:v>0</x:v>
      </x:c>
      <x:c r="N171" s="21" t="n">
        <x:v>0</x:v>
      </x:c>
      <x:c r="O171" s="21" t="n">
        <x:v>0</x:v>
      </x:c>
      <x:c r="P171" s="21" t="n">
        <x:v>0</x:v>
      </x:c>
      <x:c r="Q171" s="21" t="n">
        <x:v>0.15072463768115943</x:v>
      </x:c>
      <x:c r="R171" s="21" t="n">
        <x:v>1.5070956521739132</x:v>
      </x:c>
      <x:c r="S171" s="21" t="n">
        <x:v>0</x:v>
      </x:c>
      <x:c r="T171" s="21" t="n">
        <x:v>0</x:v>
      </x:c>
      <x:c r="U171" s="21" t="n">
        <x:v>0</x:v>
      </x:c>
      <x:c r="V171" s="21" t="n">
        <x:v>0</x:v>
      </x:c>
      <x:c r="W171" s="21" t="n">
        <x:v>5.27536231884058</x:v>
      </x:c>
      <x:c r="X171" s="21" t="n">
        <x:v>3.391304347826087</x:v>
      </x:c>
      <x:c r="Y171" s="21" t="n">
        <x:v>43.70577391304348</x:v>
      </x:c>
      <x:c r="Z171" s="21" t="n">
        <x:v>0.2637417391304348</x:v>
      </x:c>
      <x:c r="AA171" s="21" t="n">
        <x:v>23.36231884057971</x:v>
      </x:c>
      <x:c r="AB171" s="21" t="n">
        <x:v>0.78</x:v>
      </x:c>
      <x:c r="AC171" s="21" t="n">
        <x:v>0</x:v>
      </x:c>
      <x:c r="AD171" s="21" t="n">
        <x:v>0</x:v>
      </x:c>
      <x:c r="AE171" s="21" t="n">
        <x:v>0</x:v>
      </x:c>
      <x:c r="AF171" s="21" t="n">
        <x:v>0</x:v>
      </x:c>
      <x:c r="AG171" s="21" t="n">
        <x:v>0</x:v>
      </x:c>
      <x:c r="AH171" s="21" t="n">
        <x:v>0</x:v>
      </x:c>
      <x:c r="AI171" s="21" t="n">
        <x:v>0</x:v>
      </x:c>
      <x:c r="AJ171" s="21" t="n">
        <x:v>0</x:v>
      </x:c>
      <x:c r="AK171" s="21" t="n">
        <x:v>0</x:v>
      </x:c>
      <x:c r="AL171" s="21" t="n">
        <x:v>0</x:v>
      </x:c>
      <x:c r="AM171" s="21" t="n">
        <x:v>1</x:v>
      </x:c>
      <x:c r="AN171" s="21" t="n">
        <x:v>1</x:v>
      </x:c>
      <x:c r="AO171" s="21" t="n">
        <x:v>1</x:v>
      </x:c>
      <x:c r="AP171" s="21" t="n">
        <x:v>0.99</x:v>
      </x:c>
      <x:c r="AQ171" s="21" t="n">
        <x:v>1.01</x:v>
      </x:c>
      <x:c r="AR171" s="21" t="n">
        <x:v>1</x:v>
      </x:c>
      <x:c r="AS171" s="21" t="n">
        <x:v>1</x:v>
      </x:c>
      <x:c r="AT171" s="21" t="n">
        <x:v>1</x:v>
      </x:c>
      <x:c r="AU171" s="21" t="n">
        <x:v>0</x:v>
      </x:c>
      <x:c r="AV171" s="22" t="n">
        <x:f>IF(C171="QB",N171*0.04+O171*4-P171*2+R171*0.1+S171*6,IF(OR(C171="RB",C171="WR",C171="TE"),U171*0.1+V171*6+R171*0.1+S171*6+X171*0.5+Y171*0.1+Z171*6,IF(C171="K",AC171*3+AD171*4+AE171*5+AF171,IF(C171="DST",AG171+AH171*2+AI171*6+AL171,0))))</x:f>
        <x:v>7.799389565217392</x:v>
      </x:c>
      <x:c r="AW171" s="22" t="n">
        <x:f>(AV171+AU171)*G171</x:f>
        <x:v>7.799389565217392</x:v>
      </x:c>
      <x:c r="AX171" s="22" t="n">
        <x:f>MAX(0,AW171*IF(C171="QB",0.68,IF(C171="RB",0.58,IF(C171="WR",0.52,IF(C171="TE",0.50,IF(C171="K",0.55,0.40))))))</x:f>
        <x:v>4.055682573913044</x:v>
      </x:c>
      <x:c r="AY171" s="22" t="n">
        <x:f>AW171*IF(C171="QB",1.32,IF(C171="RB",1.45,IF(C171="WR",1.55,IF(C171="TE",1.60,IF(C171="K",1.45,1.65)))))</x:f>
        <x:v>12.089053826086957</x:v>
      </x:c>
      <x:c r="AZ171" s="12" t="str">
        <x:v>High</x:v>
      </x:c>
      <x:c r="BA171" s="12" t="n">
        <x:v>4</x:v>
      </x:c>
      <x:c r="BB171" s="12" t="n">
        <x:f>COUNTIFS($C$2:$C$344,C171,$AW$2:$AW$344,"&gt;"&amp;AW171,$G$2:$G$344,"&gt;0")+COUNTIFS($C$2:C171,C171,$AW$2:AW171,AW171,$G$2:G171,"&gt;0")</x:f>
        <x:v>34</x:v>
      </x:c>
      <x:c r="BC171" s="12" t="n">
        <x:v>36</x:v>
      </x:c>
      <x:c r="BD171" s="12" t="str">
        <x:f>IF(BB171&lt;BC171,"↑",IF(BB171&gt;BC171,"↓","→"))</x:f>
        <x:v>↑</x:v>
      </x:c>
      <x:c r="BE171" s="23" t="str">
        <x:v>Fantasy Football Brief ROS baseline; official NFL schedule</x:v>
      </x:c>
      <x:c r="BF171" s="23" t="str">
        <x:v>Current role and availability baseline; all adjustment factors shown numerically</x:v>
      </x:c>
      <x:c r="BG171" s="23" t="str">
        <x:v>Material injury, depth-chart, or role change</x:v>
      </x:c>
      <x:c r="BH171" s="24" t="str">
        <x:v>2026-09-23 10:35 CT</x:v>
      </x:c>
    </x:row>
    <x:row r="172">
      <x:c r="A172" s="12" t="str">
        <x:v>Xavier Worthy</x:v>
      </x:c>
      <x:c r="B172" s="12" t="str">
        <x:v>KC</x:v>
      </x:c>
      <x:c r="C172" s="12" t="str">
        <x:v>WR</x:v>
      </x:c>
      <x:c r="D172" s="12" t="str">
        <x:v>MIA</x:v>
      </x:c>
      <x:c r="E172" s="12" t="str">
        <x:v>Away</x:v>
      </x:c>
      <x:c r="F172" s="12" t="str">
        <x:v>2026-09-27</x:v>
      </x:c>
      <x:c r="G172" s="19" t="n">
        <x:v>1</x:v>
      </x:c>
      <x:c r="H172" s="20" t="str">
        <x:v>ACTIVE</x:v>
      </x:c>
      <x:c r="I172" s="20" t="n">
        <x:v>52</x:v>
      </x:c>
      <x:c r="J172" s="20" t="str">
        <x:v>Routes</x:v>
      </x:c>
      <x:c r="K172" s="20" t="n">
        <x:v>21.56521739130435</x:v>
      </x:c>
      <x:c r="L172" s="21" t="n">
        <x:v>0</x:v>
      </x:c>
      <x:c r="M172" s="21" t="n">
        <x:v>0</x:v>
      </x:c>
      <x:c r="N172" s="21" t="n">
        <x:v>0</x:v>
      </x:c>
      <x:c r="O172" s="21" t="n">
        <x:v>0</x:v>
      </x:c>
      <x:c r="P172" s="21" t="n">
        <x:v>0</x:v>
      </x:c>
      <x:c r="Q172" s="21" t="n">
        <x:v>0.13913043478260873</x:v>
      </x:c>
      <x:c r="R172" s="21" t="n">
        <x:v>1.4760347826086957</x:v>
      </x:c>
      <x:c r="S172" s="21" t="n">
        <x:v>0</x:v>
      </x:c>
      <x:c r="T172" s="21" t="n">
        <x:v>0</x:v>
      </x:c>
      <x:c r="U172" s="21" t="n">
        <x:v>0</x:v>
      </x:c>
      <x:c r="V172" s="21" t="n">
        <x:v>0</x:v>
      </x:c>
      <x:c r="W172" s="21" t="n">
        <x:v>4.869565217391305</x:v>
      </x:c>
      <x:c r="X172" s="21" t="n">
        <x:v>3.1304347826086962</x:v>
      </x:c>
      <x:c r="Y172" s="21" t="n">
        <x:v>42.805008695652184</x:v>
      </x:c>
      <x:c r="Z172" s="21" t="n">
        <x:v>0.25830608695652174</x:v>
      </x:c>
      <x:c r="AA172" s="21" t="n">
        <x:v>21.56521739130435</x:v>
      </x:c>
      <x:c r="AB172" s="21" t="n">
        <x:v>0.78</x:v>
      </x:c>
      <x:c r="AC172" s="21" t="n">
        <x:v>0</x:v>
      </x:c>
      <x:c r="AD172" s="21" t="n">
        <x:v>0</x:v>
      </x:c>
      <x:c r="AE172" s="21" t="n">
        <x:v>0</x:v>
      </x:c>
      <x:c r="AF172" s="21" t="n">
        <x:v>0</x:v>
      </x:c>
      <x:c r="AG172" s="21" t="n">
        <x:v>0</x:v>
      </x:c>
      <x:c r="AH172" s="21" t="n">
        <x:v>0</x:v>
      </x:c>
      <x:c r="AI172" s="21" t="n">
        <x:v>0</x:v>
      </x:c>
      <x:c r="AJ172" s="21" t="n">
        <x:v>0</x:v>
      </x:c>
      <x:c r="AK172" s="21" t="n">
        <x:v>0</x:v>
      </x:c>
      <x:c r="AL172" s="21" t="n">
        <x:v>0</x:v>
      </x:c>
      <x:c r="AM172" s="21" t="n">
        <x:v>1</x:v>
      </x:c>
      <x:c r="AN172" s="21" t="n">
        <x:v>1</x:v>
      </x:c>
      <x:c r="AO172" s="21" t="n">
        <x:v>1</x:v>
      </x:c>
      <x:c r="AP172" s="21" t="n">
        <x:v>1.03</x:v>
      </x:c>
      <x:c r="AQ172" s="21" t="n">
        <x:v>1.03</x:v>
      </x:c>
      <x:c r="AR172" s="21" t="n">
        <x:v>1</x:v>
      </x:c>
      <x:c r="AS172" s="21" t="n">
        <x:v>1</x:v>
      </x:c>
      <x:c r="AT172" s="21" t="n">
        <x:v>1</x:v>
      </x:c>
      <x:c r="AU172" s="21" t="n">
        <x:v>0</x:v>
      </x:c>
      <x:c r="AV172" s="22" t="n">
        <x:f>IF(C172="QB",N172*0.04+O172*4-P172*2+R172*0.1+S172*6,IF(OR(C172="RB",C172="WR",C172="TE"),U172*0.1+V172*6+R172*0.1+S172*6+X172*0.5+Y172*0.1+Z172*6,IF(C172="K",AC172*3+AD172*4+AE172*5+AF172,IF(C172="DST",AG172+AH172*2+AI172*6+AL172,0))))</x:f>
        <x:v>7.543158260869568</x:v>
      </x:c>
      <x:c r="AW172" s="22" t="n">
        <x:f>(AV172+AU172)*G172</x:f>
        <x:v>7.543158260869568</x:v>
      </x:c>
      <x:c r="AX172" s="22" t="n">
        <x:f>MAX(0,AW172*IF(C172="QB",0.68,IF(C172="RB",0.58,IF(C172="WR",0.52,IF(C172="TE",0.50,IF(C172="K",0.55,0.40))))))</x:f>
        <x:v>3.9224422956521754</x:v>
      </x:c>
      <x:c r="AY172" s="22" t="n">
        <x:f>AW172*IF(C172="QB",1.32,IF(C172="RB",1.45,IF(C172="WR",1.55,IF(C172="TE",1.60,IF(C172="K",1.45,1.65)))))</x:f>
        <x:v>11.691895304347831</x:v>
      </x:c>
      <x:c r="AZ172" s="12" t="str">
        <x:v>High</x:v>
      </x:c>
      <x:c r="BA172" s="12" t="n">
        <x:v>4</x:v>
      </x:c>
      <x:c r="BB172" s="12" t="n">
        <x:f>COUNTIFS($C$2:$C$344,C172,$AW$2:$AW$344,"&gt;"&amp;AW172,$G$2:$G$344,"&gt;0")+COUNTIFS($C$2:C172,C172,$AW$2:AW172,AW172,$G$2:G172,"&gt;0")</x:f>
        <x:v>35</x:v>
      </x:c>
      <x:c r="BC172" s="12" t="n">
        <x:v>37</x:v>
      </x:c>
      <x:c r="BD172" s="12" t="str">
        <x:f>IF(BB172&lt;BC172,"↑",IF(BB172&gt;BC172,"↓","→"))</x:f>
        <x:v>↑</x:v>
      </x:c>
      <x:c r="BE172" s="23" t="str">
        <x:v>Fantasy Football Brief ROS baseline; official NFL schedule</x:v>
      </x:c>
      <x:c r="BF172" s="23" t="str">
        <x:v>Current role and availability baseline; all adjustment factors shown numerically</x:v>
      </x:c>
      <x:c r="BG172" s="23" t="str">
        <x:v>Material injury, depth-chart, or role change</x:v>
      </x:c>
      <x:c r="BH172" s="24" t="str">
        <x:v>2026-09-23 10:35 CT</x:v>
      </x:c>
    </x:row>
    <x:row r="173">
      <x:c r="A173" s="12" t="str">
        <x:v>Zay Flowers</x:v>
      </x:c>
      <x:c r="B173" s="12" t="str">
        <x:v>BAL</x:v>
      </x:c>
      <x:c r="C173" s="12" t="str">
        <x:v>WR</x:v>
      </x:c>
      <x:c r="D173" s="12" t="str">
        <x:v>DAL</x:v>
      </x:c>
      <x:c r="E173" s="12" t="str">
        <x:v>Away</x:v>
      </x:c>
      <x:c r="F173" s="12" t="str">
        <x:v>2026-09-27</x:v>
      </x:c>
      <x:c r="G173" s="19" t="n">
        <x:v>0.58</x:v>
      </x:c>
      <x:c r="H173" s="20" t="str">
        <x:v>QUESTIONABLE</x:v>
      </x:c>
      <x:c r="I173" s="20" t="n">
        <x:v>46.10666666666666</x:v>
      </x:c>
      <x:c r="J173" s="20" t="str">
        <x:v>Routes</x:v>
      </x:c>
      <x:c r="K173" s="20" t="n">
        <x:v>35.85217391304348</x:v>
      </x:c>
      <x:c r="L173" s="21" t="n">
        <x:v>0</x:v>
      </x:c>
      <x:c r="M173" s="21" t="n">
        <x:v>0</x:v>
      </x:c>
      <x:c r="N173" s="21" t="n">
        <x:v>0</x:v>
      </x:c>
      <x:c r="O173" s="21" t="n">
        <x:v>0</x:v>
      </x:c>
      <x:c r="P173" s="21" t="n">
        <x:v>0</x:v>
      </x:c>
      <x:c r="Q173" s="21" t="n">
        <x:v>0.23130434782608697</x:v>
      </x:c>
      <x:c r="R173" s="21" t="n">
        <x:v>2.5258434782608696</x:v>
      </x:c>
      <x:c r="S173" s="21" t="n">
        <x:v>0</x:v>
      </x:c>
      <x:c r="T173" s="21" t="n">
        <x:v>0</x:v>
      </x:c>
      <x:c r="U173" s="21" t="n">
        <x:v>0</x:v>
      </x:c>
      <x:c r="V173" s="21" t="n">
        <x:v>0</x:v>
      </x:c>
      <x:c r="W173" s="21" t="n">
        <x:v>8.095652173913043</x:v>
      </x:c>
      <x:c r="X173" s="21" t="n">
        <x:v>5.2043478260869565</x:v>
      </x:c>
      <x:c r="Y173" s="21" t="n">
        <x:v>73.24946086956524</x:v>
      </x:c>
      <x:c r="Z173" s="21" t="n">
        <x:v>0.4420226086956522</x:v>
      </x:c>
      <x:c r="AA173" s="21" t="n">
        <x:v>35.85217391304348</x:v>
      </x:c>
      <x:c r="AB173" s="21" t="n">
        <x:v>0.78</x:v>
      </x:c>
      <x:c r="AC173" s="21" t="n">
        <x:v>0</x:v>
      </x:c>
      <x:c r="AD173" s="21" t="n">
        <x:v>0</x:v>
      </x:c>
      <x:c r="AE173" s="21" t="n">
        <x:v>0</x:v>
      </x:c>
      <x:c r="AF173" s="21" t="n">
        <x:v>0</x:v>
      </x:c>
      <x:c r="AG173" s="21" t="n">
        <x:v>0</x:v>
      </x:c>
      <x:c r="AH173" s="21" t="n">
        <x:v>0</x:v>
      </x:c>
      <x:c r="AI173" s="21" t="n">
        <x:v>0</x:v>
      </x:c>
      <x:c r="AJ173" s="21" t="n">
        <x:v>0</x:v>
      </x:c>
      <x:c r="AK173" s="21" t="n">
        <x:v>0</x:v>
      </x:c>
      <x:c r="AL173" s="21" t="n">
        <x:v>0</x:v>
      </x:c>
      <x:c r="AM173" s="21" t="n">
        <x:v>0.58</x:v>
      </x:c>
      <x:c r="AN173" s="21" t="n">
        <x:v>0.95</x:v>
      </x:c>
      <x:c r="AO173" s="21" t="n">
        <x:v>1</x:v>
      </x:c>
      <x:c r="AP173" s="21" t="n">
        <x:v>1.04</x:v>
      </x:c>
      <x:c r="AQ173" s="21" t="n">
        <x:v>1.05</x:v>
      </x:c>
      <x:c r="AR173" s="21" t="n">
        <x:v>1</x:v>
      </x:c>
      <x:c r="AS173" s="21" t="n">
        <x:v>1</x:v>
      </x:c>
      <x:c r="AT173" s="21" t="n">
        <x:v>1</x:v>
      </x:c>
      <x:c r="AU173" s="21" t="n">
        <x:v>0</x:v>
      </x:c>
      <x:c r="AV173" s="22" t="n">
        <x:f>IF(C173="QB",N173*0.04+O173*4-P173*2+R173*0.1+S173*6,IF(OR(C173="RB",C173="WR",C173="TE"),U173*0.1+V173*6+R173*0.1+S173*6+X173*0.5+Y173*0.1+Z173*6,IF(C173="K",AC173*3+AD173*4+AE173*5+AF173,IF(C173="DST",AG173+AH173*2+AI173*6+AL173,0))))</x:f>
        <x:v>12.831840000000001</x:v>
      </x:c>
      <x:c r="AW173" s="22" t="n">
        <x:f>(AV173+AU173)*G173</x:f>
        <x:v>7.4424672</x:v>
      </x:c>
      <x:c r="AX173" s="22" t="n">
        <x:f>MAX(0,AW173*IF(C173="QB",0.68,IF(C173="RB",0.58,IF(C173="WR",0.52,IF(C173="TE",0.50,IF(C173="K",0.55,0.40))))))</x:f>
        <x:v>3.8700829440000004</x:v>
      </x:c>
      <x:c r="AY173" s="22" t="n">
        <x:f>AW173*IF(C173="QB",1.32,IF(C173="RB",1.45,IF(C173="WR",1.55,IF(C173="TE",1.60,IF(C173="K",1.45,1.65)))))</x:f>
        <x:v>11.53582416</x:v>
      </x:c>
      <x:c r="AZ173" s="12" t="str">
        <x:v>Low</x:v>
      </x:c>
      <x:c r="BA173" s="12" t="n">
        <x:v>4</x:v>
      </x:c>
      <x:c r="BB173" s="12" t="n">
        <x:f>COUNTIFS($C$2:$C$344,C173,$AW$2:$AW$344,"&gt;"&amp;AW173,$G$2:$G$344,"&gt;0")+COUNTIFS($C$2:C173,C173,$AW$2:AW173,AW173,$G$2:G173,"&gt;0")</x:f>
        <x:v>36</x:v>
      </x:c>
      <x:c r="BC173" s="12" t="n">
        <x:v>38</x:v>
      </x:c>
      <x:c r="BD173" s="12" t="str">
        <x:f>IF(BB173&lt;BC173,"↑",IF(BB173&gt;BC173,"↓","→"))</x:f>
        <x:v>↑</x:v>
      </x:c>
      <x:c r="BE173" s="23" t="str">
        <x:v>Reuters, Sep. 19: Week 2 inactive after limited Friday work with hamstring injury</x:v>
      </x:c>
      <x:c r="BF173" s="23" t="str">
        <x:v>Partial return probability with route/efficiency discount if active.</x:v>
      </x:c>
      <x:c r="BG173" s="23" t="str">
        <x:v>Wednesday-Friday practice participation</x:v>
      </x:c>
      <x:c r="BH173" s="24" t="str">
        <x:v>2026-09-23 10:35 CT</x:v>
      </x:c>
    </x:row>
    <x:row r="174">
      <x:c r="A174" s="12" t="str">
        <x:v>Tre Tucker</x:v>
      </x:c>
      <x:c r="B174" s="12" t="str">
        <x:v>LV</x:v>
      </x:c>
      <x:c r="C174" s="12" t="str">
        <x:v>WR</x:v>
      </x:c>
      <x:c r="D174" s="12" t="str">
        <x:v>NO</x:v>
      </x:c>
      <x:c r="E174" s="12" t="str">
        <x:v>Away</x:v>
      </x:c>
      <x:c r="F174" s="12" t="str">
        <x:v>2026-09-27</x:v>
      </x:c>
      <x:c r="G174" s="19" t="n">
        <x:v>1</x:v>
      </x:c>
      <x:c r="H174" s="20" t="str">
        <x:v>ACTIVE</x:v>
      </x:c>
      <x:c r="I174" s="20" t="n">
        <x:v>52</x:v>
      </x:c>
      <x:c r="J174" s="20" t="str">
        <x:v>Routes</x:v>
      </x:c>
      <x:c r="K174" s="20" t="n">
        <x:v>20.966183574879228</x:v>
      </x:c>
      <x:c r="L174" s="21" t="n">
        <x:v>0</x:v>
      </x:c>
      <x:c r="M174" s="21" t="n">
        <x:v>0</x:v>
      </x:c>
      <x:c r="N174" s="21" t="n">
        <x:v>0</x:v>
      </x:c>
      <x:c r="O174" s="21" t="n">
        <x:v>0</x:v>
      </x:c>
      <x:c r="P174" s="21" t="n">
        <x:v>0</x:v>
      </x:c>
      <x:c r="Q174" s="21" t="n">
        <x:v>0.1352657004830918</x:v>
      </x:c>
      <x:c r="R174" s="21" t="n">
        <x:v>1.3521159420289857</x:v>
      </x:c>
      <x:c r="S174" s="21" t="n">
        <x:v>0</x:v>
      </x:c>
      <x:c r="T174" s="21" t="n">
        <x:v>0</x:v>
      </x:c>
      <x:c r="U174" s="21" t="n">
        <x:v>0</x:v>
      </x:c>
      <x:c r="V174" s="21" t="n">
        <x:v>0</x:v>
      </x:c>
      <x:c r="W174" s="21" t="n">
        <x:v>4.734299516908212</x:v>
      </x:c>
      <x:c r="X174" s="21" t="n">
        <x:v>3.0434782608695654</x:v>
      </x:c>
      <x:c r="Y174" s="21" t="n">
        <x:v>39.211362318840585</x:v>
      </x:c>
      <x:c r="Z174" s="21" t="n">
        <x:v>0.23662028985507247</x:v>
      </x:c>
      <x:c r="AA174" s="21" t="n">
        <x:v>20.966183574879228</x:v>
      </x:c>
      <x:c r="AB174" s="21" t="n">
        <x:v>0.78</x:v>
      </x:c>
      <x:c r="AC174" s="21" t="n">
        <x:v>0</x:v>
      </x:c>
      <x:c r="AD174" s="21" t="n">
        <x:v>0</x:v>
      </x:c>
      <x:c r="AE174" s="21" t="n">
        <x:v>0</x:v>
      </x:c>
      <x:c r="AF174" s="21" t="n">
        <x:v>0</x:v>
      </x:c>
      <x:c r="AG174" s="21" t="n">
        <x:v>0</x:v>
      </x:c>
      <x:c r="AH174" s="21" t="n">
        <x:v>0</x:v>
      </x:c>
      <x:c r="AI174" s="21" t="n">
        <x:v>0</x:v>
      </x:c>
      <x:c r="AJ174" s="21" t="n">
        <x:v>0</x:v>
      </x:c>
      <x:c r="AK174" s="21" t="n">
        <x:v>0</x:v>
      </x:c>
      <x:c r="AL174" s="21" t="n">
        <x:v>0</x:v>
      </x:c>
      <x:c r="AM174" s="21" t="n">
        <x:v>1</x:v>
      </x:c>
      <x:c r="AN174" s="21" t="n">
        <x:v>1</x:v>
      </x:c>
      <x:c r="AO174" s="21" t="n">
        <x:v>1</x:v>
      </x:c>
      <x:c r="AP174" s="21" t="n">
        <x:v>0.98</x:v>
      </x:c>
      <x:c r="AQ174" s="21" t="n">
        <x:v>1.02</x:v>
      </x:c>
      <x:c r="AR174" s="21" t="n">
        <x:v>1</x:v>
      </x:c>
      <x:c r="AS174" s="21" t="n">
        <x:v>1</x:v>
      </x:c>
      <x:c r="AT174" s="21" t="n">
        <x:v>1</x:v>
      </x:c>
      <x:c r="AU174" s="21" t="n">
        <x:v>0</x:v>
      </x:c>
      <x:c r="AV174" s="22" t="n">
        <x:f>IF(C174="QB",N174*0.04+O174*4-P174*2+R174*0.1+S174*6,IF(OR(C174="RB",C174="WR",C174="TE"),U174*0.1+V174*6+R174*0.1+S174*6+X174*0.5+Y174*0.1+Z174*6,IF(C174="K",AC174*3+AD174*4+AE174*5+AF174,IF(C174="DST",AG174+AH174*2+AI174*6+AL174,0))))</x:f>
        <x:v>6.997808695652175</x:v>
      </x:c>
      <x:c r="AW174" s="22" t="n">
        <x:f>(AV174+AU174)*G174</x:f>
        <x:v>6.997808695652175</x:v>
      </x:c>
      <x:c r="AX174" s="22" t="n">
        <x:f>MAX(0,AW174*IF(C174="QB",0.68,IF(C174="RB",0.58,IF(C174="WR",0.52,IF(C174="TE",0.50,IF(C174="K",0.55,0.40))))))</x:f>
        <x:v>3.638860521739131</x:v>
      </x:c>
      <x:c r="AY174" s="22" t="n">
        <x:f>AW174*IF(C174="QB",1.32,IF(C174="RB",1.45,IF(C174="WR",1.55,IF(C174="TE",1.60,IF(C174="K",1.45,1.65)))))</x:f>
        <x:v>10.846603478260871</x:v>
      </x:c>
      <x:c r="AZ174" s="12" t="str">
        <x:v>High</x:v>
      </x:c>
      <x:c r="BA174" s="12" t="n">
        <x:v>4</x:v>
      </x:c>
      <x:c r="BB174" s="12" t="n">
        <x:f>COUNTIFS($C$2:$C$344,C174,$AW$2:$AW$344,"&gt;"&amp;AW174,$G$2:$G$344,"&gt;0")+COUNTIFS($C$2:C174,C174,$AW$2:AW174,AW174,$G$2:G174,"&gt;0")</x:f>
        <x:v>38</x:v>
      </x:c>
      <x:c r="BC174" s="12" t="n">
        <x:v>39</x:v>
      </x:c>
      <x:c r="BD174" s="12" t="str">
        <x:f>IF(BB174&lt;BC174,"↑",IF(BB174&gt;BC174,"↓","→"))</x:f>
        <x:v>↑</x:v>
      </x:c>
      <x:c r="BE174" s="23" t="str">
        <x:v>Fantasy Football Brief ROS baseline; official NFL schedule</x:v>
      </x:c>
      <x:c r="BF174" s="23" t="str">
        <x:v>Current role and availability baseline; all adjustment factors shown numerically</x:v>
      </x:c>
      <x:c r="BG174" s="23" t="str">
        <x:v>Material injury, depth-chart, or role change</x:v>
      </x:c>
      <x:c r="BH174" s="24" t="str">
        <x:v>2026-09-23 10:35 CT</x:v>
      </x:c>
    </x:row>
    <x:row r="175">
      <x:c r="A175" s="12" t="str">
        <x:v>Stefon Diggs</x:v>
      </x:c>
      <x:c r="B175" s="12" t="str">
        <x:v>WAS</x:v>
      </x:c>
      <x:c r="C175" s="12" t="str">
        <x:v>WR</x:v>
      </x:c>
      <x:c r="D175" s="12" t="str">
        <x:v>SEA</x:v>
      </x:c>
      <x:c r="E175" s="12" t="str">
        <x:v>Home</x:v>
      </x:c>
      <x:c r="F175" s="12" t="str">
        <x:v>2026-09-27</x:v>
      </x:c>
      <x:c r="G175" s="19" t="n">
        <x:v>1</x:v>
      </x:c>
      <x:c r="H175" s="20" t="str">
        <x:v>ACTIVE</x:v>
      </x:c>
      <x:c r="I175" s="20" t="n">
        <x:v>52</x:v>
      </x:c>
      <x:c r="J175" s="20" t="str">
        <x:v>Routes</x:v>
      </x:c>
      <x:c r="K175" s="20" t="n">
        <x:v>21.265700483091784</x:v>
      </x:c>
      <x:c r="L175" s="21" t="n">
        <x:v>0</x:v>
      </x:c>
      <x:c r="M175" s="21" t="n">
        <x:v>0</x:v>
      </x:c>
      <x:c r="N175" s="21" t="n">
        <x:v>0</x:v>
      </x:c>
      <x:c r="O175" s="21" t="n">
        <x:v>0</x:v>
      </x:c>
      <x:c r="P175" s="21" t="n">
        <x:v>0</x:v>
      </x:c>
      <x:c r="Q175" s="21" t="n">
        <x:v>0.13719806763285022</x:v>
      </x:c>
      <x:c r="R175" s="21" t="n">
        <x:v>1.3042048309178742</x:v>
      </x:c>
      <x:c r="S175" s="21" t="n">
        <x:v>0</x:v>
      </x:c>
      <x:c r="T175" s="21" t="n">
        <x:v>0</x:v>
      </x:c>
      <x:c r="U175" s="21" t="n">
        <x:v>0</x:v>
      </x:c>
      <x:c r="V175" s="21" t="n">
        <x:v>0</x:v>
      </x:c>
      <x:c r="W175" s="21" t="n">
        <x:v>4.8019323671497585</x:v>
      </x:c>
      <x:c r="X175" s="21" t="n">
        <x:v>3.08695652173913</x:v>
      </x:c>
      <x:c r="Y175" s="21" t="n">
        <x:v>37.821940096618356</x:v>
      </x:c>
      <x:c r="Z175" s="21" t="n">
        <x:v>0.228235845410628</x:v>
      </x:c>
      <x:c r="AA175" s="21" t="n">
        <x:v>21.265700483091784</x:v>
      </x:c>
      <x:c r="AB175" s="21" t="n">
        <x:v>0.78</x:v>
      </x:c>
      <x:c r="AC175" s="21" t="n">
        <x:v>0</x:v>
      </x:c>
      <x:c r="AD175" s="21" t="n">
        <x:v>0</x:v>
      </x:c>
      <x:c r="AE175" s="21" t="n">
        <x:v>0</x:v>
      </x:c>
      <x:c r="AF175" s="21" t="n">
        <x:v>0</x:v>
      </x:c>
      <x:c r="AG175" s="21" t="n">
        <x:v>0</x:v>
      </x:c>
      <x:c r="AH175" s="21" t="n">
        <x:v>0</x:v>
      </x:c>
      <x:c r="AI175" s="21" t="n">
        <x:v>0</x:v>
      </x:c>
      <x:c r="AJ175" s="21" t="n">
        <x:v>0</x:v>
      </x:c>
      <x:c r="AK175" s="21" t="n">
        <x:v>0</x:v>
      </x:c>
      <x:c r="AL175" s="21" t="n">
        <x:v>0</x:v>
      </x:c>
      <x:c r="AM175" s="21" t="n">
        <x:v>1</x:v>
      </x:c>
      <x:c r="AN175" s="21" t="n">
        <x:v>1</x:v>
      </x:c>
      <x:c r="AO175" s="21" t="n">
        <x:v>1</x:v>
      </x:c>
      <x:c r="AP175" s="21" t="n">
        <x:v>0.97</x:v>
      </x:c>
      <x:c r="AQ175" s="21" t="n">
        <x:v>0.98</x:v>
      </x:c>
      <x:c r="AR175" s="21" t="n">
        <x:v>1</x:v>
      </x:c>
      <x:c r="AS175" s="21" t="n">
        <x:v>1</x:v>
      </x:c>
      <x:c r="AT175" s="21" t="n">
        <x:v>1</x:v>
      </x:c>
      <x:c r="AU175" s="21" t="n">
        <x:v>0</x:v>
      </x:c>
      <x:c r="AV175" s="22" t="n">
        <x:f>IF(C175="QB",N175*0.04+O175*4-P175*2+R175*0.1+S175*6,IF(OR(C175="RB",C175="WR",C175="TE"),U175*0.1+V175*6+R175*0.1+S175*6+X175*0.5+Y175*0.1+Z175*6,IF(C175="K",AC175*3+AD175*4+AE175*5+AF175,IF(C175="DST",AG175+AH175*2+AI175*6+AL175,0))))</x:f>
        <x:v>6.825507826086957</x:v>
      </x:c>
      <x:c r="AW175" s="22" t="n">
        <x:f>(AV175+AU175)*G175</x:f>
        <x:v>6.825507826086957</x:v>
      </x:c>
      <x:c r="AX175" s="22" t="n">
        <x:f>MAX(0,AW175*IF(C175="QB",0.68,IF(C175="RB",0.58,IF(C175="WR",0.52,IF(C175="TE",0.50,IF(C175="K",0.55,0.40))))))</x:f>
        <x:v>3.549264069565218</x:v>
      </x:c>
      <x:c r="AY175" s="22" t="n">
        <x:f>AW175*IF(C175="QB",1.32,IF(C175="RB",1.45,IF(C175="WR",1.55,IF(C175="TE",1.60,IF(C175="K",1.45,1.65)))))</x:f>
        <x:v>10.579537130434783</x:v>
      </x:c>
      <x:c r="AZ175" s="12" t="str">
        <x:v>High</x:v>
      </x:c>
      <x:c r="BA175" s="12" t="n">
        <x:v>4</x:v>
      </x:c>
      <x:c r="BB175" s="12" t="n">
        <x:f>COUNTIFS($C$2:$C$344,C175,$AW$2:$AW$344,"&gt;"&amp;AW175,$G$2:$G$344,"&gt;0")+COUNTIFS($C$2:C175,C175,$AW$2:AW175,AW175,$G$2:G175,"&gt;0")</x:f>
        <x:v>39</x:v>
      </x:c>
      <x:c r="BC175" s="12" t="n">
        <x:v>40</x:v>
      </x:c>
      <x:c r="BD175" s="12" t="str">
        <x:f>IF(BB175&lt;BC175,"↑",IF(BB175&gt;BC175,"↓","→"))</x:f>
        <x:v>↑</x:v>
      </x:c>
      <x:c r="BE175" s="23" t="str">
        <x:v>Fantasy Football Brief ROS baseline; official NFL schedule</x:v>
      </x:c>
      <x:c r="BF175" s="23" t="str">
        <x:v>Current role and availability baseline; all adjustment factors shown numerically</x:v>
      </x:c>
      <x:c r="BG175" s="23" t="str">
        <x:v>Material injury, depth-chart, or role change</x:v>
      </x:c>
      <x:c r="BH175" s="24" t="str">
        <x:v>2026-09-23 10:35 CT</x:v>
      </x:c>
    </x:row>
    <x:row r="176">
      <x:c r="A176" s="12" t="str">
        <x:v>Jakobi Meyers</x:v>
      </x:c>
      <x:c r="B176" s="12" t="str">
        <x:v>JAC</x:v>
      </x:c>
      <x:c r="C176" s="12" t="str">
        <x:v>WR</x:v>
      </x:c>
      <x:c r="D176" s="12" t="str">
        <x:v>NE</x:v>
      </x:c>
      <x:c r="E176" s="12" t="str">
        <x:v>Home</x:v>
      </x:c>
      <x:c r="F176" s="12" t="str">
        <x:v>2026-09-27</x:v>
      </x:c>
      <x:c r="G176" s="19" t="n">
        <x:v>1</x:v>
      </x:c>
      <x:c r="H176" s="20" t="str">
        <x:v>ACTIVE</x:v>
      </x:c>
      <x:c r="I176" s="20" t="n">
        <x:v>52</x:v>
      </x:c>
      <x:c r="J176" s="20" t="str">
        <x:v>Routes</x:v>
      </x:c>
      <x:c r="K176" s="20" t="n">
        <x:v>20.367149758454108</x:v>
      </x:c>
      <x:c r="L176" s="21" t="n">
        <x:v>0</x:v>
      </x:c>
      <x:c r="M176" s="21" t="n">
        <x:v>0</x:v>
      </x:c>
      <x:c r="N176" s="21" t="n">
        <x:v>0</x:v>
      </x:c>
      <x:c r="O176" s="21" t="n">
        <x:v>0</x:v>
      </x:c>
      <x:c r="P176" s="21" t="n">
        <x:v>0</x:v>
      </x:c>
      <x:c r="Q176" s="21" t="n">
        <x:v>0.13140096618357489</x:v>
      </x:c>
      <x:c r="R176" s="21" t="n">
        <x:v>1.3008695652173914</x:v>
      </x:c>
      <x:c r="S176" s="21" t="n">
        <x:v>0</x:v>
      </x:c>
      <x:c r="T176" s="21" t="n">
        <x:v>0</x:v>
      </x:c>
      <x:c r="U176" s="21" t="n">
        <x:v>0</x:v>
      </x:c>
      <x:c r="V176" s="21" t="n">
        <x:v>0</x:v>
      </x:c>
      <x:c r="W176" s="21" t="n">
        <x:v>4.599033816425121</x:v>
      </x:c>
      <x:c r="X176" s="21" t="n">
        <x:v>2.956521739130435</x:v>
      </x:c>
      <x:c r="Y176" s="21" t="n">
        <x:v>37.72521739130435</x:v>
      </x:c>
      <x:c r="Z176" s="21" t="n">
        <x:v>0.22765217391304346</x:v>
      </x:c>
      <x:c r="AA176" s="21" t="n">
        <x:v>20.367149758454108</x:v>
      </x:c>
      <x:c r="AB176" s="21" t="n">
        <x:v>0.78</x:v>
      </x:c>
      <x:c r="AC176" s="21" t="n">
        <x:v>0</x:v>
      </x:c>
      <x:c r="AD176" s="21" t="n">
        <x:v>0</x:v>
      </x:c>
      <x:c r="AE176" s="21" t="n">
        <x:v>0</x:v>
      </x:c>
      <x:c r="AF176" s="21" t="n">
        <x:v>0</x:v>
      </x:c>
      <x:c r="AG176" s="21" t="n">
        <x:v>0</x:v>
      </x:c>
      <x:c r="AH176" s="21" t="n">
        <x:v>0</x:v>
      </x:c>
      <x:c r="AI176" s="21" t="n">
        <x:v>0</x:v>
      </x:c>
      <x:c r="AJ176" s="21" t="n">
        <x:v>0</x:v>
      </x:c>
      <x:c r="AK176" s="21" t="n">
        <x:v>0</x:v>
      </x:c>
      <x:c r="AL176" s="21" t="n">
        <x:v>0</x:v>
      </x:c>
      <x:c r="AM176" s="21" t="n">
        <x:v>1</x:v>
      </x:c>
      <x:c r="AN176" s="21" t="n">
        <x:v>1</x:v>
      </x:c>
      <x:c r="AO176" s="21" t="n">
        <x:v>1</x:v>
      </x:c>
      <x:c r="AP176" s="21" t="n">
        <x:v>1</x:v>
      </x:c>
      <x:c r="AQ176" s="21" t="n">
        <x:v>0.99</x:v>
      </x:c>
      <x:c r="AR176" s="21" t="n">
        <x:v>1</x:v>
      </x:c>
      <x:c r="AS176" s="21" t="n">
        <x:v>1</x:v>
      </x:c>
      <x:c r="AT176" s="21" t="n">
        <x:v>1</x:v>
      </x:c>
      <x:c r="AU176" s="21" t="n">
        <x:v>0</x:v>
      </x:c>
      <x:c r="AV176" s="22" t="n">
        <x:f>IF(C176="QB",N176*0.04+O176*4-P176*2+R176*0.1+S176*6,IF(OR(C176="RB",C176="WR",C176="TE"),U176*0.1+V176*6+R176*0.1+S176*6+X176*0.5+Y176*0.1+Z176*6,IF(C176="K",AC176*3+AD176*4+AE176*5+AF176,IF(C176="DST",AG176+AH176*2+AI176*6+AL176,0))))</x:f>
        <x:v>6.746782608695653</x:v>
      </x:c>
      <x:c r="AW176" s="22" t="n">
        <x:f>(AV176+AU176)*G176</x:f>
        <x:v>6.746782608695653</x:v>
      </x:c>
      <x:c r="AX176" s="22" t="n">
        <x:f>MAX(0,AW176*IF(C176="QB",0.68,IF(C176="RB",0.58,IF(C176="WR",0.52,IF(C176="TE",0.50,IF(C176="K",0.55,0.40))))))</x:f>
        <x:v>3.5083269565217394</x:v>
      </x:c>
      <x:c r="AY176" s="22" t="n">
        <x:f>AW176*IF(C176="QB",1.32,IF(C176="RB",1.45,IF(C176="WR",1.55,IF(C176="TE",1.60,IF(C176="K",1.45,1.65)))))</x:f>
        <x:v>10.457513043478261</x:v>
      </x:c>
      <x:c r="AZ176" s="12" t="str">
        <x:v>High</x:v>
      </x:c>
      <x:c r="BA176" s="12" t="n">
        <x:v>4</x:v>
      </x:c>
      <x:c r="BB176" s="12" t="n">
        <x:f>COUNTIFS($C$2:$C$344,C176,$AW$2:$AW$344,"&gt;"&amp;AW176,$G$2:$G$344,"&gt;0")+COUNTIFS($C$2:C176,C176,$AW$2:AW176,AW176,$G$2:G176,"&gt;0")</x:f>
        <x:v>40</x:v>
      </x:c>
      <x:c r="BC176" s="12" t="n">
        <x:v>41</x:v>
      </x:c>
      <x:c r="BD176" s="12" t="str">
        <x:f>IF(BB176&lt;BC176,"↑",IF(BB176&gt;BC176,"↓","→"))</x:f>
        <x:v>↑</x:v>
      </x:c>
      <x:c r="BE176" s="23" t="str">
        <x:v>Fantasy Football Brief ROS baseline; official NFL schedule</x:v>
      </x:c>
      <x:c r="BF176" s="23" t="str">
        <x:v>Current role and availability baseline; all adjustment factors shown numerically</x:v>
      </x:c>
      <x:c r="BG176" s="23" t="str">
        <x:v>Material injury, depth-chart, or role change</x:v>
      </x:c>
      <x:c r="BH176" s="24" t="str">
        <x:v>2026-09-23 10:35 CT</x:v>
      </x:c>
    </x:row>
    <x:row r="177">
      <x:c r="A177" s="12" t="str">
        <x:v>Quentin Johnston</x:v>
      </x:c>
      <x:c r="B177" s="12" t="str">
        <x:v>LAC</x:v>
      </x:c>
      <x:c r="C177" s="12" t="str">
        <x:v>WR</x:v>
      </x:c>
      <x:c r="D177" s="12" t="str">
        <x:v>BUF</x:v>
      </x:c>
      <x:c r="E177" s="12" t="str">
        <x:v>Away</x:v>
      </x:c>
      <x:c r="F177" s="12" t="str">
        <x:v>2026-09-27</x:v>
      </x:c>
      <x:c r="G177" s="19" t="n">
        <x:v>1</x:v>
      </x:c>
      <x:c r="H177" s="20" t="str">
        <x:v>ACTIVE</x:v>
      </x:c>
      <x:c r="I177" s="20" t="n">
        <x:v>52</x:v>
      </x:c>
      <x:c r="J177" s="20" t="str">
        <x:v>Routes</x:v>
      </x:c>
      <x:c r="K177" s="20" t="n">
        <x:v>20.666666666666668</x:v>
      </x:c>
      <x:c r="L177" s="21" t="n">
        <x:v>0</x:v>
      </x:c>
      <x:c r="M177" s="21" t="n">
        <x:v>0</x:v>
      </x:c>
      <x:c r="N177" s="21" t="n">
        <x:v>0</x:v>
      </x:c>
      <x:c r="O177" s="21" t="n">
        <x:v>0</x:v>
      </x:c>
      <x:c r="P177" s="21" t="n">
        <x:v>0</x:v>
      </x:c>
      <x:c r="Q177" s="21" t="n">
        <x:v>0.13333333333333336</x:v>
      </x:c>
      <x:c r="R177" s="21" t="n">
        <x:v>1.2928000000000002</x:v>
      </x:c>
      <x:c r="S177" s="21" t="n">
        <x:v>0</x:v>
      </x:c>
      <x:c r="T177" s="21" t="n">
        <x:v>0</x:v>
      </x:c>
      <x:c r="U177" s="21" t="n">
        <x:v>0</x:v>
      </x:c>
      <x:c r="V177" s="21" t="n">
        <x:v>0</x:v>
      </x:c>
      <x:c r="W177" s="21" t="n">
        <x:v>4.666666666666667</x:v>
      </x:c>
      <x:c r="X177" s="21" t="n">
        <x:v>3.0000000000000004</x:v>
      </x:c>
      <x:c r="Y177" s="21" t="n">
        <x:v>37.491200000000006</x:v>
      </x:c>
      <x:c r="Z177" s="21" t="n">
        <x:v>0.22624</x:v>
      </x:c>
      <x:c r="AA177" s="21" t="n">
        <x:v>20.666666666666668</x:v>
      </x:c>
      <x:c r="AB177" s="21" t="n">
        <x:v>0.78</x:v>
      </x:c>
      <x:c r="AC177" s="21" t="n">
        <x:v>0</x:v>
      </x:c>
      <x:c r="AD177" s="21" t="n">
        <x:v>0</x:v>
      </x:c>
      <x:c r="AE177" s="21" t="n">
        <x:v>0</x:v>
      </x:c>
      <x:c r="AF177" s="21" t="n">
        <x:v>0</x:v>
      </x:c>
      <x:c r="AG177" s="21" t="n">
        <x:v>0</x:v>
      </x:c>
      <x:c r="AH177" s="21" t="n">
        <x:v>0</x:v>
      </x:c>
      <x:c r="AI177" s="21" t="n">
        <x:v>0</x:v>
      </x:c>
      <x:c r="AJ177" s="21" t="n">
        <x:v>0</x:v>
      </x:c>
      <x:c r="AK177" s="21" t="n">
        <x:v>0</x:v>
      </x:c>
      <x:c r="AL177" s="21" t="n">
        <x:v>0</x:v>
      </x:c>
      <x:c r="AM177" s="21" t="n">
        <x:v>1</x:v>
      </x:c>
      <x:c r="AN177" s="21" t="n">
        <x:v>1</x:v>
      </x:c>
      <x:c r="AO177" s="21" t="n">
        <x:v>1</x:v>
      </x:c>
      <x:c r="AP177" s="21" t="n">
        <x:v>1.01</x:v>
      </x:c>
      <x:c r="AQ177" s="21" t="n">
        <x:v>0.96</x:v>
      </x:c>
      <x:c r="AR177" s="21" t="n">
        <x:v>1</x:v>
      </x:c>
      <x:c r="AS177" s="21" t="n">
        <x:v>1</x:v>
      </x:c>
      <x:c r="AT177" s="21" t="n">
        <x:v>1</x:v>
      </x:c>
      <x:c r="AU177" s="21" t="n">
        <x:v>0</x:v>
      </x:c>
      <x:c r="AV177" s="22" t="n">
        <x:f>IF(C177="QB",N177*0.04+O177*4-P177*2+R177*0.1+S177*6,IF(OR(C177="RB",C177="WR",C177="TE"),U177*0.1+V177*6+R177*0.1+S177*6+X177*0.5+Y177*0.1+Z177*6,IF(C177="K",AC177*3+AD177*4+AE177*5+AF177,IF(C177="DST",AG177+AH177*2+AI177*6+AL177,0))))</x:f>
        <x:v>6.735840000000001</x:v>
      </x:c>
      <x:c r="AW177" s="22" t="n">
        <x:f>(AV177+AU177)*G177</x:f>
        <x:v>6.735840000000001</x:v>
      </x:c>
      <x:c r="AX177" s="22" t="n">
        <x:f>MAX(0,AW177*IF(C177="QB",0.68,IF(C177="RB",0.58,IF(C177="WR",0.52,IF(C177="TE",0.50,IF(C177="K",0.55,0.40))))))</x:f>
        <x:v>3.5026368000000008</x:v>
      </x:c>
      <x:c r="AY177" s="22" t="n">
        <x:f>AW177*IF(C177="QB",1.32,IF(C177="RB",1.45,IF(C177="WR",1.55,IF(C177="TE",1.60,IF(C177="K",1.45,1.65)))))</x:f>
        <x:v>10.440552000000002</x:v>
      </x:c>
      <x:c r="AZ177" s="12" t="str">
        <x:v>High</x:v>
      </x:c>
      <x:c r="BA177" s="12" t="n">
        <x:v>4</x:v>
      </x:c>
      <x:c r="BB177" s="12" t="n">
        <x:f>COUNTIFS($C$2:$C$344,C177,$AW$2:$AW$344,"&gt;"&amp;AW177,$G$2:$G$344,"&gt;0")+COUNTIFS($C$2:C177,C177,$AW$2:AW177,AW177,$G$2:G177,"&gt;0")</x:f>
        <x:v>41</x:v>
      </x:c>
      <x:c r="BC177" s="12" t="n">
        <x:v>42</x:v>
      </x:c>
      <x:c r="BD177" s="12" t="str">
        <x:f>IF(BB177&lt;BC177,"↑",IF(BB177&gt;BC177,"↓","→"))</x:f>
        <x:v>↑</x:v>
      </x:c>
      <x:c r="BE177" s="23" t="str">
        <x:v>Fantasy Football Brief ROS baseline; official NFL schedule</x:v>
      </x:c>
      <x:c r="BF177" s="23" t="str">
        <x:v>Current role and availability baseline; all adjustment factors shown numerically</x:v>
      </x:c>
      <x:c r="BG177" s="23" t="str">
        <x:v>Material injury, depth-chart, or role change</x:v>
      </x:c>
      <x:c r="BH177" s="24" t="str">
        <x:v>2026-09-23 10:35 CT</x:v>
      </x:c>
    </x:row>
    <x:row r="178">
      <x:c r="A178" s="12" t="str">
        <x:v>Josh Downs</x:v>
      </x:c>
      <x:c r="B178" s="12" t="str">
        <x:v>IND</x:v>
      </x:c>
      <x:c r="C178" s="12" t="str">
        <x:v>WR</x:v>
      </x:c>
      <x:c r="D178" s="12" t="str">
        <x:v>HOU</x:v>
      </x:c>
      <x:c r="E178" s="12" t="str">
        <x:v>Home</x:v>
      </x:c>
      <x:c r="F178" s="12" t="str">
        <x:v>2026-09-27</x:v>
      </x:c>
      <x:c r="G178" s="19" t="n">
        <x:v>1</x:v>
      </x:c>
      <x:c r="H178" s="20" t="str">
        <x:v>ACTIVE</x:v>
      </x:c>
      <x:c r="I178" s="20" t="n">
        <x:v>52</x:v>
      </x:c>
      <x:c r="J178" s="20" t="str">
        <x:v>Routes</x:v>
      </x:c>
      <x:c r="K178" s="20" t="n">
        <x:v>20.966183574879228</x:v>
      </x:c>
      <x:c r="L178" s="21" t="n">
        <x:v>0</x:v>
      </x:c>
      <x:c r="M178" s="21" t="n">
        <x:v>0</x:v>
      </x:c>
      <x:c r="N178" s="21" t="n">
        <x:v>0</x:v>
      </x:c>
      <x:c r="O178" s="21" t="n">
        <x:v>0</x:v>
      </x:c>
      <x:c r="P178" s="21" t="n">
        <x:v>0</x:v>
      </x:c>
      <x:c r="Q178" s="21" t="n">
        <x:v>0.1352657004830918</x:v>
      </x:c>
      <x:c r="R178" s="21" t="n">
        <x:v>1.285024154589372</x:v>
      </x:c>
      <x:c r="S178" s="21" t="n">
        <x:v>0</x:v>
      </x:c>
      <x:c r="T178" s="21" t="n">
        <x:v>0</x:v>
      </x:c>
      <x:c r="U178" s="21" t="n">
        <x:v>0</x:v>
      </x:c>
      <x:c r="V178" s="21" t="n">
        <x:v>0</x:v>
      </x:c>
      <x:c r="W178" s="21" t="n">
        <x:v>4.734299516908212</x:v>
      </x:c>
      <x:c r="X178" s="21" t="n">
        <x:v>3.0434782608695654</x:v>
      </x:c>
      <x:c r="Y178" s="21" t="n">
        <x:v>37.26570048309179</x:v>
      </x:c>
      <x:c r="Z178" s="21" t="n">
        <x:v>0.2248792270531401</x:v>
      </x:c>
      <x:c r="AA178" s="21" t="n">
        <x:v>20.966183574879228</x:v>
      </x:c>
      <x:c r="AB178" s="21" t="n">
        <x:v>0.78</x:v>
      </x:c>
      <x:c r="AC178" s="21" t="n">
        <x:v>0</x:v>
      </x:c>
      <x:c r="AD178" s="21" t="n">
        <x:v>0</x:v>
      </x:c>
      <x:c r="AE178" s="21" t="n">
        <x:v>0</x:v>
      </x:c>
      <x:c r="AF178" s="21" t="n">
        <x:v>0</x:v>
      </x:c>
      <x:c r="AG178" s="21" t="n">
        <x:v>0</x:v>
      </x:c>
      <x:c r="AH178" s="21" t="n">
        <x:v>0</x:v>
      </x:c>
      <x:c r="AI178" s="21" t="n">
        <x:v>0</x:v>
      </x:c>
      <x:c r="AJ178" s="21" t="n">
        <x:v>0</x:v>
      </x:c>
      <x:c r="AK178" s="21" t="n">
        <x:v>0</x:v>
      </x:c>
      <x:c r="AL178" s="21" t="n">
        <x:v>0</x:v>
      </x:c>
      <x:c r="AM178" s="21" t="n">
        <x:v>1</x:v>
      </x:c>
      <x:c r="AN178" s="21" t="n">
        <x:v>1</x:v>
      </x:c>
      <x:c r="AO178" s="21" t="n">
        <x:v>1</x:v>
      </x:c>
      <x:c r="AP178" s="21" t="n">
        <x:v>1</x:v>
      </x:c>
      <x:c r="AQ178" s="21" t="n">
        <x:v>0.95</x:v>
      </x:c>
      <x:c r="AR178" s="21" t="n">
        <x:v>1</x:v>
      </x:c>
      <x:c r="AS178" s="21" t="n">
        <x:v>1</x:v>
      </x:c>
      <x:c r="AT178" s="21" t="n">
        <x:v>1</x:v>
      </x:c>
      <x:c r="AU178" s="21" t="n">
        <x:v>0</x:v>
      </x:c>
      <x:c r="AV178" s="22" t="n">
        <x:f>IF(C178="QB",N178*0.04+O178*4-P178*2+R178*0.1+S178*6,IF(OR(C178="RB",C178="WR",C178="TE"),U178*0.1+V178*6+R178*0.1+S178*6+X178*0.5+Y178*0.1+Z178*6,IF(C178="K",AC178*3+AD178*4+AE178*5+AF178,IF(C178="DST",AG178+AH178*2+AI178*6+AL178,0))))</x:f>
        <x:v>6.72608695652174</x:v>
      </x:c>
      <x:c r="AW178" s="22" t="n">
        <x:f>(AV178+AU178)*G178</x:f>
        <x:v>6.72608695652174</x:v>
      </x:c>
      <x:c r="AX178" s="22" t="n">
        <x:f>MAX(0,AW178*IF(C178="QB",0.68,IF(C178="RB",0.58,IF(C178="WR",0.52,IF(C178="TE",0.50,IF(C178="K",0.55,0.40))))))</x:f>
        <x:v>3.4975652173913048</x:v>
      </x:c>
      <x:c r="AY178" s="22" t="n">
        <x:f>AW178*IF(C178="QB",1.32,IF(C178="RB",1.45,IF(C178="WR",1.55,IF(C178="TE",1.60,IF(C178="K",1.45,1.65)))))</x:f>
        <x:v>10.425434782608697</x:v>
      </x:c>
      <x:c r="AZ178" s="12" t="str">
        <x:v>High</x:v>
      </x:c>
      <x:c r="BA178" s="12" t="n">
        <x:v>4</x:v>
      </x:c>
      <x:c r="BB178" s="12" t="n">
        <x:f>COUNTIFS($C$2:$C$344,C178,$AW$2:$AW$344,"&gt;"&amp;AW178,$G$2:$G$344,"&gt;0")+COUNTIFS($C$2:C178,C178,$AW$2:AW178,AW178,$G$2:G178,"&gt;0")</x:f>
        <x:v>42</x:v>
      </x:c>
      <x:c r="BC178" s="12" t="n">
        <x:v>43</x:v>
      </x:c>
      <x:c r="BD178" s="12" t="str">
        <x:f>IF(BB178&lt;BC178,"↑",IF(BB178&gt;BC178,"↓","→"))</x:f>
        <x:v>↑</x:v>
      </x:c>
      <x:c r="BE178" s="23" t="str">
        <x:v>Fantasy Football Brief ROS baseline; official NFL schedule</x:v>
      </x:c>
      <x:c r="BF178" s="23" t="str">
        <x:v>Current role and availability baseline; all adjustment factors shown numerically</x:v>
      </x:c>
      <x:c r="BG178" s="23" t="str">
        <x:v>Material injury, depth-chart, or role change</x:v>
      </x:c>
      <x:c r="BH178" s="24" t="str">
        <x:v>2026-09-23 10:35 CT</x:v>
      </x:c>
    </x:row>
    <x:row r="179">
      <x:c r="A179" s="12" t="str">
        <x:v>Adonai Mitchell</x:v>
      </x:c>
      <x:c r="B179" s="12" t="str">
        <x:v>NYJ</x:v>
      </x:c>
      <x:c r="C179" s="12" t="str">
        <x:v>WR</x:v>
      </x:c>
      <x:c r="D179" s="12" t="str">
        <x:v>DET</x:v>
      </x:c>
      <x:c r="E179" s="12" t="str">
        <x:v>Away</x:v>
      </x:c>
      <x:c r="F179" s="12" t="str">
        <x:v>2026-09-27</x:v>
      </x:c>
      <x:c r="G179" s="19" t="n">
        <x:v>1</x:v>
      </x:c>
      <x:c r="H179" s="20" t="str">
        <x:v>ACTIVE</x:v>
      </x:c>
      <x:c r="I179" s="20" t="n">
        <x:v>52</x:v>
      </x:c>
      <x:c r="J179" s="20" t="str">
        <x:v>Routes</x:v>
      </x:c>
      <x:c r="K179" s="20" t="n">
        <x:v>19.768115942028984</x:v>
      </x:c>
      <x:c r="L179" s="21" t="n">
        <x:v>0</x:v>
      </x:c>
      <x:c r="M179" s="21" t="n">
        <x:v>0</x:v>
      </x:c>
      <x:c r="N179" s="21" t="n">
        <x:v>0</x:v>
      </x:c>
      <x:c r="O179" s="21" t="n">
        <x:v>0</x:v>
      </x:c>
      <x:c r="P179" s="21" t="n">
        <x:v>0</x:v>
      </x:c>
      <x:c r="Q179" s="21" t="n">
        <x:v>0.12753623188405797</x:v>
      </x:c>
      <x:c r="R179" s="21" t="n">
        <x:v>1.2865855072463765</x:v>
      </x:c>
      <x:c r="S179" s="21" t="n">
        <x:v>0</x:v>
      </x:c>
      <x:c r="T179" s="21" t="n">
        <x:v>0</x:v>
      </x:c>
      <x:c r="U179" s="21" t="n">
        <x:v>0</x:v>
      </x:c>
      <x:c r="V179" s="21" t="n">
        <x:v>0</x:v>
      </x:c>
      <x:c r="W179" s="21" t="n">
        <x:v>4.463768115942028</x:v>
      </x:c>
      <x:c r="X179" s="21" t="n">
        <x:v>2.869565217391304</x:v>
      </x:c>
      <x:c r="Y179" s="21" t="n">
        <x:v>37.31097971014492</x:v>
      </x:c>
      <x:c r="Z179" s="21" t="n">
        <x:v>0.2251524637681159</x:v>
      </x:c>
      <x:c r="AA179" s="21" t="n">
        <x:v>19.768115942028984</x:v>
      </x:c>
      <x:c r="AB179" s="21" t="n">
        <x:v>0.78</x:v>
      </x:c>
      <x:c r="AC179" s="21" t="n">
        <x:v>0</x:v>
      </x:c>
      <x:c r="AD179" s="21" t="n">
        <x:v>0</x:v>
      </x:c>
      <x:c r="AE179" s="21" t="n">
        <x:v>0</x:v>
      </x:c>
      <x:c r="AF179" s="21" t="n">
        <x:v>0</x:v>
      </x:c>
      <x:c r="AG179" s="21" t="n">
        <x:v>0</x:v>
      </x:c>
      <x:c r="AH179" s="21" t="n">
        <x:v>0</x:v>
      </x:c>
      <x:c r="AI179" s="21" t="n">
        <x:v>0</x:v>
      </x:c>
      <x:c r="AJ179" s="21" t="n">
        <x:v>0</x:v>
      </x:c>
      <x:c r="AK179" s="21" t="n">
        <x:v>0</x:v>
      </x:c>
      <x:c r="AL179" s="21" t="n">
        <x:v>0</x:v>
      </x:c>
      <x:c r="AM179" s="21" t="n">
        <x:v>1</x:v>
      </x:c>
      <x:c r="AN179" s="21" t="n">
        <x:v>1</x:v>
      </x:c>
      <x:c r="AO179" s="21" t="n">
        <x:v>1</x:v>
      </x:c>
      <x:c r="AP179" s="21" t="n">
        <x:v>0.97</x:v>
      </x:c>
      <x:c r="AQ179" s="21" t="n">
        <x:v>1.04</x:v>
      </x:c>
      <x:c r="AR179" s="21" t="n">
        <x:v>1</x:v>
      </x:c>
      <x:c r="AS179" s="21" t="n">
        <x:v>1</x:v>
      </x:c>
      <x:c r="AT179" s="21" t="n">
        <x:v>1</x:v>
      </x:c>
      <x:c r="AU179" s="21" t="n">
        <x:v>0</x:v>
      </x:c>
      <x:c r="AV179" s="22" t="n">
        <x:f>IF(C179="QB",N179*0.04+O179*4-P179*2+R179*0.1+S179*6,IF(OR(C179="RB",C179="WR",C179="TE"),U179*0.1+V179*6+R179*0.1+S179*6+X179*0.5+Y179*0.1+Z179*6,IF(C179="K",AC179*3+AD179*4+AE179*5+AF179,IF(C179="DST",AG179+AH179*2+AI179*6+AL179,0))))</x:f>
        <x:v>6.645453913043477</x:v>
      </x:c>
      <x:c r="AW179" s="22" t="n">
        <x:f>(AV179+AU179)*G179</x:f>
        <x:v>6.645453913043477</x:v>
      </x:c>
      <x:c r="AX179" s="22" t="n">
        <x:f>MAX(0,AW179*IF(C179="QB",0.68,IF(C179="RB",0.58,IF(C179="WR",0.52,IF(C179="TE",0.50,IF(C179="K",0.55,0.40))))))</x:f>
        <x:v>3.455636034782608</x:v>
      </x:c>
      <x:c r="AY179" s="22" t="n">
        <x:f>AW179*IF(C179="QB",1.32,IF(C179="RB",1.45,IF(C179="WR",1.55,IF(C179="TE",1.60,IF(C179="K",1.45,1.65)))))</x:f>
        <x:v>10.30045356521739</x:v>
      </x:c>
      <x:c r="AZ179" s="12" t="str">
        <x:v>High</x:v>
      </x:c>
      <x:c r="BA179" s="12" t="n">
        <x:v>4</x:v>
      </x:c>
      <x:c r="BB179" s="12" t="n">
        <x:f>COUNTIFS($C$2:$C$344,C179,$AW$2:$AW$344,"&gt;"&amp;AW179,$G$2:$G$344,"&gt;0")+COUNTIFS($C$2:C179,C179,$AW$2:AW179,AW179,$G$2:G179,"&gt;0")</x:f>
        <x:v>43</x:v>
      </x:c>
      <x:c r="BC179" s="12" t="n">
        <x:v>44</x:v>
      </x:c>
      <x:c r="BD179" s="12" t="str">
        <x:f>IF(BB179&lt;BC179,"↑",IF(BB179&gt;BC179,"↓","→"))</x:f>
        <x:v>↑</x:v>
      </x:c>
      <x:c r="BE179" s="23" t="str">
        <x:v>Fantasy Football Brief ROS baseline; official NFL schedule</x:v>
      </x:c>
      <x:c r="BF179" s="23" t="str">
        <x:v>Current role and availability baseline; all adjustment factors shown numerically</x:v>
      </x:c>
      <x:c r="BG179" s="23" t="str">
        <x:v>Material injury, depth-chart, or role change</x:v>
      </x:c>
      <x:c r="BH179" s="24" t="str">
        <x:v>2026-09-23 10:35 CT</x:v>
      </x:c>
    </x:row>
    <x:row r="180">
      <x:c r="A180" s="12" t="str">
        <x:v>Rashid Shaheed</x:v>
      </x:c>
      <x:c r="B180" s="12" t="str">
        <x:v>SEA</x:v>
      </x:c>
      <x:c r="C180" s="12" t="str">
        <x:v>WR</x:v>
      </x:c>
      <x:c r="D180" s="12" t="str">
        <x:v>WAS</x:v>
      </x:c>
      <x:c r="E180" s="12" t="str">
        <x:v>Away</x:v>
      </x:c>
      <x:c r="F180" s="12" t="str">
        <x:v>2026-09-27</x:v>
      </x:c>
      <x:c r="G180" s="19" t="n">
        <x:v>1</x:v>
      </x:c>
      <x:c r="H180" s="20" t="str">
        <x:v>ACTIVE</x:v>
      </x:c>
      <x:c r="I180" s="20" t="n">
        <x:v>52</x:v>
      </x:c>
      <x:c r="J180" s="20" t="str">
        <x:v>Routes</x:v>
      </x:c>
      <x:c r="K180" s="20" t="n">
        <x:v>19.169082125603868</x:v>
      </x:c>
      <x:c r="L180" s="21" t="n">
        <x:v>0</x:v>
      </x:c>
      <x:c r="M180" s="21" t="n">
        <x:v>0</x:v>
      </x:c>
      <x:c r="N180" s="21" t="n">
        <x:v>0</x:v>
      </x:c>
      <x:c r="O180" s="21" t="n">
        <x:v>0</x:v>
      </x:c>
      <x:c r="P180" s="21" t="n">
        <x:v>0</x:v>
      </x:c>
      <x:c r="Q180" s="21" t="n">
        <x:v>0.12367149758454109</x:v>
      </x:c>
      <x:c r="R180" s="21" t="n">
        <x:v>1.273816425120773</x:v>
      </x:c>
      <x:c r="S180" s="21" t="n">
        <x:v>0</x:v>
      </x:c>
      <x:c r="T180" s="21" t="n">
        <x:v>0</x:v>
      </x:c>
      <x:c r="U180" s="21" t="n">
        <x:v>0</x:v>
      </x:c>
      <x:c r="V180" s="21" t="n">
        <x:v>0</x:v>
      </x:c>
      <x:c r="W180" s="21" t="n">
        <x:v>4.328502415458938</x:v>
      </x:c>
      <x:c r="X180" s="21" t="n">
        <x:v>2.7826086956521743</x:v>
      </x:c>
      <x:c r="Y180" s="21" t="n">
        <x:v>36.94067632850242</x:v>
      </x:c>
      <x:c r="Z180" s="21" t="n">
        <x:v>0.22291787439613528</x:v>
      </x:c>
      <x:c r="AA180" s="21" t="n">
        <x:v>19.169082125603868</x:v>
      </x:c>
      <x:c r="AB180" s="21" t="n">
        <x:v>0.78</x:v>
      </x:c>
      <x:c r="AC180" s="21" t="n">
        <x:v>0</x:v>
      </x:c>
      <x:c r="AD180" s="21" t="n">
        <x:v>0</x:v>
      </x:c>
      <x:c r="AE180" s="21" t="n">
        <x:v>0</x:v>
      </x:c>
      <x:c r="AF180" s="21" t="n">
        <x:v>0</x:v>
      </x:c>
      <x:c r="AG180" s="21" t="n">
        <x:v>0</x:v>
      </x:c>
      <x:c r="AH180" s="21" t="n">
        <x:v>0</x:v>
      </x:c>
      <x:c r="AI180" s="21" t="n">
        <x:v>0</x:v>
      </x:c>
      <x:c r="AJ180" s="21" t="n">
        <x:v>0</x:v>
      </x:c>
      <x:c r="AK180" s="21" t="n">
        <x:v>0</x:v>
      </x:c>
      <x:c r="AL180" s="21" t="n">
        <x:v>0</x:v>
      </x:c>
      <x:c r="AM180" s="21" t="n">
        <x:v>1</x:v>
      </x:c>
      <x:c r="AN180" s="21" t="n">
        <x:v>1</x:v>
      </x:c>
      <x:c r="AO180" s="21" t="n">
        <x:v>1</x:v>
      </x:c>
      <x:c r="AP180" s="21" t="n">
        <x:v>1</x:v>
      </x:c>
      <x:c r="AQ180" s="21" t="n">
        <x:v>1.03</x:v>
      </x:c>
      <x:c r="AR180" s="21" t="n">
        <x:v>1</x:v>
      </x:c>
      <x:c r="AS180" s="21" t="n">
        <x:v>1</x:v>
      </x:c>
      <x:c r="AT180" s="21" t="n">
        <x:v>1</x:v>
      </x:c>
      <x:c r="AU180" s="21" t="n">
        <x:v>0</x:v>
      </x:c>
      <x:c r="AV180" s="22" t="n">
        <x:f>IF(C180="QB",N180*0.04+O180*4-P180*2+R180*0.1+S180*6,IF(OR(C180="RB",C180="WR",C180="TE"),U180*0.1+V180*6+R180*0.1+S180*6+X180*0.5+Y180*0.1+Z180*6,IF(C180="K",AC180*3+AD180*4+AE180*5+AF180,IF(C180="DST",AG180+AH180*2+AI180*6+AL180,0))))</x:f>
        <x:v>6.550260869565219</x:v>
      </x:c>
      <x:c r="AW180" s="22" t="n">
        <x:f>(AV180+AU180)*G180</x:f>
        <x:v>6.550260869565219</x:v>
      </x:c>
      <x:c r="AX180" s="22" t="n">
        <x:f>MAX(0,AW180*IF(C180="QB",0.68,IF(C180="RB",0.58,IF(C180="WR",0.52,IF(C180="TE",0.50,IF(C180="K",0.55,0.40))))))</x:f>
        <x:v>3.406135652173914</x:v>
      </x:c>
      <x:c r="AY180" s="22" t="n">
        <x:f>AW180*IF(C180="QB",1.32,IF(C180="RB",1.45,IF(C180="WR",1.55,IF(C180="TE",1.60,IF(C180="K",1.45,1.65)))))</x:f>
        <x:v>10.15290434782609</x:v>
      </x:c>
      <x:c r="AZ180" s="12" t="str">
        <x:v>High</x:v>
      </x:c>
      <x:c r="BA180" s="12" t="n">
        <x:v>4</x:v>
      </x:c>
      <x:c r="BB180" s="12" t="n">
        <x:f>COUNTIFS($C$2:$C$344,C180,$AW$2:$AW$344,"&gt;"&amp;AW180,$G$2:$G$344,"&gt;0")+COUNTIFS($C$2:C180,C180,$AW$2:AW180,AW180,$G$2:G180,"&gt;0")</x:f>
        <x:v>44</x:v>
      </x:c>
      <x:c r="BC180" s="12" t="n">
        <x:v>45</x:v>
      </x:c>
      <x:c r="BD180" s="12" t="str">
        <x:f>IF(BB180&lt;BC180,"↑",IF(BB180&gt;BC180,"↓","→"))</x:f>
        <x:v>↑</x:v>
      </x:c>
      <x:c r="BE180" s="23" t="str">
        <x:v>Fantasy Football Brief ROS baseline; official NFL schedule</x:v>
      </x:c>
      <x:c r="BF180" s="23" t="str">
        <x:v>Current role and availability baseline; all adjustment factors shown numerically</x:v>
      </x:c>
      <x:c r="BG180" s="23" t="str">
        <x:v>Material injury, depth-chart, or role change</x:v>
      </x:c>
      <x:c r="BH180" s="24" t="str">
        <x:v>2026-09-23 10:35 CT</x:v>
      </x:c>
    </x:row>
    <x:row r="181">
      <x:c r="A181" s="12" t="str">
        <x:v>Jerry Jeudy</x:v>
      </x:c>
      <x:c r="B181" s="12" t="str">
        <x:v>CLE</x:v>
      </x:c>
      <x:c r="C181" s="12" t="str">
        <x:v>WR</x:v>
      </x:c>
      <x:c r="D181" s="12" t="str">
        <x:v>CAR</x:v>
      </x:c>
      <x:c r="E181" s="12" t="str">
        <x:v>Home</x:v>
      </x:c>
      <x:c r="F181" s="12" t="str">
        <x:v>2026-09-27</x:v>
      </x:c>
      <x:c r="G181" s="19" t="n">
        <x:v>1</x:v>
      </x:c>
      <x:c r="H181" s="20" t="str">
        <x:v>ACTIVE</x:v>
      </x:c>
      <x:c r="I181" s="20" t="n">
        <x:v>52</x:v>
      </x:c>
      <x:c r="J181" s="20" t="str">
        <x:v>Routes</x:v>
      </x:c>
      <x:c r="K181" s="20" t="n">
        <x:v>18.869565217391305</x:v>
      </x:c>
      <x:c r="L181" s="21" t="n">
        <x:v>0</x:v>
      </x:c>
      <x:c r="M181" s="21" t="n">
        <x:v>0</x:v>
      </x:c>
      <x:c r="N181" s="21" t="n">
        <x:v>0</x:v>
      </x:c>
      <x:c r="O181" s="21" t="n">
        <x:v>0</x:v>
      </x:c>
      <x:c r="P181" s="21" t="n">
        <x:v>0</x:v>
      </x:c>
      <x:c r="Q181" s="21" t="n">
        <x:v>0.12173913043478263</x:v>
      </x:c>
      <x:c r="R181" s="21" t="n">
        <x:v>1.228104347826087</x:v>
      </x:c>
      <x:c r="S181" s="21" t="n">
        <x:v>0</x:v>
      </x:c>
      <x:c r="T181" s="21" t="n">
        <x:v>0</x:v>
      </x:c>
      <x:c r="U181" s="21" t="n">
        <x:v>0</x:v>
      </x:c>
      <x:c r="V181" s="21" t="n">
        <x:v>0</x:v>
      </x:c>
      <x:c r="W181" s="21" t="n">
        <x:v>4.260869565217392</x:v>
      </x:c>
      <x:c r="X181" s="21" t="n">
        <x:v>2.739130434782609</x:v>
      </x:c>
      <x:c r="Y181" s="21" t="n">
        <x:v>35.615026086956526</x:v>
      </x:c>
      <x:c r="Z181" s="21" t="n">
        <x:v>0.2149182608695652</x:v>
      </x:c>
      <x:c r="AA181" s="21" t="n">
        <x:v>18.869565217391305</x:v>
      </x:c>
      <x:c r="AB181" s="21" t="n">
        <x:v>0.78</x:v>
      </x:c>
      <x:c r="AC181" s="21" t="n">
        <x:v>0</x:v>
      </x:c>
      <x:c r="AD181" s="21" t="n">
        <x:v>0</x:v>
      </x:c>
      <x:c r="AE181" s="21" t="n">
        <x:v>0</x:v>
      </x:c>
      <x:c r="AF181" s="21" t="n">
        <x:v>0</x:v>
      </x:c>
      <x:c r="AG181" s="21" t="n">
        <x:v>0</x:v>
      </x:c>
      <x:c r="AH181" s="21" t="n">
        <x:v>0</x:v>
      </x:c>
      <x:c r="AI181" s="21" t="n">
        <x:v>0</x:v>
      </x:c>
      <x:c r="AJ181" s="21" t="n">
        <x:v>0</x:v>
      </x:c>
      <x:c r="AK181" s="21" t="n">
        <x:v>0</x:v>
      </x:c>
      <x:c r="AL181" s="21" t="n">
        <x:v>0</x:v>
      </x:c>
      <x:c r="AM181" s="21" t="n">
        <x:v>1</x:v>
      </x:c>
      <x:c r="AN181" s="21" t="n">
        <x:v>1</x:v>
      </x:c>
      <x:c r="AO181" s="21" t="n">
        <x:v>1</x:v>
      </x:c>
      <x:c r="AP181" s="21" t="n">
        <x:v>0.97</x:v>
      </x:c>
      <x:c r="AQ181" s="21" t="n">
        <x:v>1.04</x:v>
      </x:c>
      <x:c r="AR181" s="21" t="n">
        <x:v>1</x:v>
      </x:c>
      <x:c r="AS181" s="21" t="n">
        <x:v>1</x:v>
      </x:c>
      <x:c r="AT181" s="21" t="n">
        <x:v>1</x:v>
      </x:c>
      <x:c r="AU181" s="21" t="n">
        <x:v>0</x:v>
      </x:c>
      <x:c r="AV181" s="22" t="n">
        <x:f>IF(C181="QB",N181*0.04+O181*4-P181*2+R181*0.1+S181*6,IF(OR(C181="RB",C181="WR",C181="TE"),U181*0.1+V181*6+R181*0.1+S181*6+X181*0.5+Y181*0.1+Z181*6,IF(C181="K",AC181*3+AD181*4+AE181*5+AF181,IF(C181="DST",AG181+AH181*2+AI181*6+AL181,0))))</x:f>
        <x:v>6.343387826086957</x:v>
      </x:c>
      <x:c r="AW181" s="22" t="n">
        <x:f>(AV181+AU181)*G181</x:f>
        <x:v>6.343387826086957</x:v>
      </x:c>
      <x:c r="AX181" s="22" t="n">
        <x:f>MAX(0,AW181*IF(C181="QB",0.68,IF(C181="RB",0.58,IF(C181="WR",0.52,IF(C181="TE",0.50,IF(C181="K",0.55,0.40))))))</x:f>
        <x:v>3.298561669565218</x:v>
      </x:c>
      <x:c r="AY181" s="22" t="n">
        <x:f>AW181*IF(C181="QB",1.32,IF(C181="RB",1.45,IF(C181="WR",1.55,IF(C181="TE",1.60,IF(C181="K",1.45,1.65)))))</x:f>
        <x:v>9.832251130434784</x:v>
      </x:c>
      <x:c r="AZ181" s="12" t="str">
        <x:v>High</x:v>
      </x:c>
      <x:c r="BA181" s="12" t="n">
        <x:v>4</x:v>
      </x:c>
      <x:c r="BB181" s="12" t="n">
        <x:f>COUNTIFS($C$2:$C$344,C181,$AW$2:$AW$344,"&gt;"&amp;AW181,$G$2:$G$344,"&gt;0")+COUNTIFS($C$2:C181,C181,$AW$2:AW181,AW181,$G$2:G181,"&gt;0")</x:f>
        <x:v>45</x:v>
      </x:c>
      <x:c r="BC181" s="12" t="n">
        <x:v>46</x:v>
      </x:c>
      <x:c r="BD181" s="12" t="str">
        <x:f>IF(BB181&lt;BC181,"↑",IF(BB181&gt;BC181,"↓","→"))</x:f>
        <x:v>↑</x:v>
      </x:c>
      <x:c r="BE181" s="23" t="str">
        <x:v>Fantasy Football Brief ROS baseline; official NFL schedule</x:v>
      </x:c>
      <x:c r="BF181" s="23" t="str">
        <x:v>Current role and availability baseline; all adjustment factors shown numerically</x:v>
      </x:c>
      <x:c r="BG181" s="23" t="str">
        <x:v>Material injury, depth-chart, or role change</x:v>
      </x:c>
      <x:c r="BH181" s="24" t="str">
        <x:v>2026-09-23 10:35 CT</x:v>
      </x:c>
    </x:row>
    <x:row r="182">
      <x:c r="A182" s="12" t="str">
        <x:v>Chris Godwin Jr.</x:v>
      </x:c>
      <x:c r="B182" s="12" t="str">
        <x:v>TB</x:v>
      </x:c>
      <x:c r="C182" s="12" t="str">
        <x:v>WR</x:v>
      </x:c>
      <x:c r="D182" s="12" t="str">
        <x:v>MIN</x:v>
      </x:c>
      <x:c r="E182" s="12" t="str">
        <x:v>Home</x:v>
      </x:c>
      <x:c r="F182" s="12" t="str">
        <x:v>2026-09-27</x:v>
      </x:c>
      <x:c r="G182" s="19" t="n">
        <x:v>1</x:v>
      </x:c>
      <x:c r="H182" s="20" t="str">
        <x:v>ACTIVE</x:v>
      </x:c>
      <x:c r="I182" s="20" t="n">
        <x:v>52</x:v>
      </x:c>
      <x:c r="J182" s="20" t="str">
        <x:v>Routes</x:v>
      </x:c>
      <x:c r="K182" s="20" t="n">
        <x:v>18.869565217391305</x:v>
      </x:c>
      <x:c r="L182" s="21" t="n">
        <x:v>0</x:v>
      </x:c>
      <x:c r="M182" s="21" t="n">
        <x:v>0</x:v>
      </x:c>
      <x:c r="N182" s="21" t="n">
        <x:v>0</x:v>
      </x:c>
      <x:c r="O182" s="21" t="n">
        <x:v>0</x:v>
      </x:c>
      <x:c r="P182" s="21" t="n">
        <x:v>0</x:v>
      </x:c>
      <x:c r="Q182" s="21" t="n">
        <x:v>0.12173913043478263</x:v>
      </x:c>
      <x:c r="R182" s="21" t="n">
        <x:v>1.2049739130434785</x:v>
      </x:c>
      <x:c r="S182" s="21" t="n">
        <x:v>0</x:v>
      </x:c>
      <x:c r="T182" s="21" t="n">
        <x:v>0</x:v>
      </x:c>
      <x:c r="U182" s="21" t="n">
        <x:v>0</x:v>
      </x:c>
      <x:c r="V182" s="21" t="n">
        <x:v>0</x:v>
      </x:c>
      <x:c r="W182" s="21" t="n">
        <x:v>4.260869565217392</x:v>
      </x:c>
      <x:c r="X182" s="21" t="n">
        <x:v>2.739130434782609</x:v>
      </x:c>
      <x:c r="Y182" s="21" t="n">
        <x:v>34.94424347826087</x:v>
      </x:c>
      <x:c r="Z182" s="21" t="n">
        <x:v>0.2108704347826087</x:v>
      </x:c>
      <x:c r="AA182" s="21" t="n">
        <x:v>18.869565217391305</x:v>
      </x:c>
      <x:c r="AB182" s="21" t="n">
        <x:v>0.78</x:v>
      </x:c>
      <x:c r="AC182" s="21" t="n">
        <x:v>0</x:v>
      </x:c>
      <x:c r="AD182" s="21" t="n">
        <x:v>0</x:v>
      </x:c>
      <x:c r="AE182" s="21" t="n">
        <x:v>0</x:v>
      </x:c>
      <x:c r="AF182" s="21" t="n">
        <x:v>0</x:v>
      </x:c>
      <x:c r="AG182" s="21" t="n">
        <x:v>0</x:v>
      </x:c>
      <x:c r="AH182" s="21" t="n">
        <x:v>0</x:v>
      </x:c>
      <x:c r="AI182" s="21" t="n">
        <x:v>0</x:v>
      </x:c>
      <x:c r="AJ182" s="21" t="n">
        <x:v>0</x:v>
      </x:c>
      <x:c r="AK182" s="21" t="n">
        <x:v>0</x:v>
      </x:c>
      <x:c r="AL182" s="21" t="n">
        <x:v>0</x:v>
      </x:c>
      <x:c r="AM182" s="21" t="n">
        <x:v>1</x:v>
      </x:c>
      <x:c r="AN182" s="21" t="n">
        <x:v>1</x:v>
      </x:c>
      <x:c r="AO182" s="21" t="n">
        <x:v>1</x:v>
      </x:c>
      <x:c r="AP182" s="21" t="n">
        <x:v>1.01</x:v>
      </x:c>
      <x:c r="AQ182" s="21" t="n">
        <x:v>0.98</x:v>
      </x:c>
      <x:c r="AR182" s="21" t="n">
        <x:v>1</x:v>
      </x:c>
      <x:c r="AS182" s="21" t="n">
        <x:v>1</x:v>
      </x:c>
      <x:c r="AT182" s="21" t="n">
        <x:v>1</x:v>
      </x:c>
      <x:c r="AU182" s="21" t="n">
        <x:v>0</x:v>
      </x:c>
      <x:c r="AV182" s="22" t="n">
        <x:f>IF(C182="QB",N182*0.04+O182*4-P182*2+R182*0.1+S182*6,IF(OR(C182="RB",C182="WR",C182="TE"),U182*0.1+V182*6+R182*0.1+S182*6+X182*0.5+Y182*0.1+Z182*6,IF(C182="K",AC182*3+AD182*4+AE182*5+AF182,IF(C182="DST",AG182+AH182*2+AI182*6+AL182,0))))</x:f>
        <x:v>6.249709565217392</x:v>
      </x:c>
      <x:c r="AW182" s="22" t="n">
        <x:f>(AV182+AU182)*G182</x:f>
        <x:v>6.249709565217392</x:v>
      </x:c>
      <x:c r="AX182" s="22" t="n">
        <x:f>MAX(0,AW182*IF(C182="QB",0.68,IF(C182="RB",0.58,IF(C182="WR",0.52,IF(C182="TE",0.50,IF(C182="K",0.55,0.40))))))</x:f>
        <x:v>3.249848973913044</x:v>
      </x:c>
      <x:c r="AY182" s="22" t="n">
        <x:f>AW182*IF(C182="QB",1.32,IF(C182="RB",1.45,IF(C182="WR",1.55,IF(C182="TE",1.60,IF(C182="K",1.45,1.65)))))</x:f>
        <x:v>9.687049826086959</x:v>
      </x:c>
      <x:c r="AZ182" s="12" t="str">
        <x:v>High</x:v>
      </x:c>
      <x:c r="BA182" s="12" t="n">
        <x:v>4</x:v>
      </x:c>
      <x:c r="BB182" s="12" t="n">
        <x:f>COUNTIFS($C$2:$C$344,C182,$AW$2:$AW$344,"&gt;"&amp;AW182,$G$2:$G$344,"&gt;0")+COUNTIFS($C$2:C182,C182,$AW$2:AW182,AW182,$G$2:G182,"&gt;0")</x:f>
        <x:v>46</x:v>
      </x:c>
      <x:c r="BC182" s="12" t="n">
        <x:v>47</x:v>
      </x:c>
      <x:c r="BD182" s="12" t="str">
        <x:f>IF(BB182&lt;BC182,"↑",IF(BB182&gt;BC182,"↓","→"))</x:f>
        <x:v>↑</x:v>
      </x:c>
      <x:c r="BE182" s="23" t="str">
        <x:v>Fantasy Football Brief ROS baseline; official NFL schedule</x:v>
      </x:c>
      <x:c r="BF182" s="23" t="str">
        <x:v>Current role and availability baseline; all adjustment factors shown numerically</x:v>
      </x:c>
      <x:c r="BG182" s="23" t="str">
        <x:v>Material injury, depth-chart, or role change</x:v>
      </x:c>
      <x:c r="BH182" s="24" t="str">
        <x:v>2026-09-23 10:35 CT</x:v>
      </x:c>
    </x:row>
    <x:row r="183">
      <x:c r="A183" s="12" t="str">
        <x:v>Carnell Tate</x:v>
      </x:c>
      <x:c r="B183" s="12" t="str">
        <x:v>TEN</x:v>
      </x:c>
      <x:c r="C183" s="12" t="str">
        <x:v>WR</x:v>
      </x:c>
      <x:c r="D183" s="12" t="str">
        <x:v>NYG</x:v>
      </x:c>
      <x:c r="E183" s="12" t="str">
        <x:v>Away</x:v>
      </x:c>
      <x:c r="F183" s="12" t="str">
        <x:v>2026-09-27</x:v>
      </x:c>
      <x:c r="G183" s="19" t="n">
        <x:v>1</x:v>
      </x:c>
      <x:c r="H183" s="20" t="str">
        <x:v>ACTIVE</x:v>
      </x:c>
      <x:c r="I183" s="20" t="n">
        <x:v>52</x:v>
      </x:c>
      <x:c r="J183" s="20" t="str">
        <x:v>Routes</x:v>
      </x:c>
      <x:c r="K183" s="20" t="n">
        <x:v>18.869565217391305</x:v>
      </x:c>
      <x:c r="L183" s="21" t="n">
        <x:v>0</x:v>
      </x:c>
      <x:c r="M183" s="21" t="n">
        <x:v>0</x:v>
      </x:c>
      <x:c r="N183" s="21" t="n">
        <x:v>0</x:v>
      </x:c>
      <x:c r="O183" s="21" t="n">
        <x:v>0</x:v>
      </x:c>
      <x:c r="P183" s="21" t="n">
        <x:v>0</x:v>
      </x:c>
      <x:c r="Q183" s="21" t="n">
        <x:v>0.12173913043478263</x:v>
      </x:c>
      <x:c r="R183" s="21" t="n">
        <x:v>1.2037565217391306</x:v>
      </x:c>
      <x:c r="S183" s="21" t="n">
        <x:v>0</x:v>
      </x:c>
      <x:c r="T183" s="21" t="n">
        <x:v>0</x:v>
      </x:c>
      <x:c r="U183" s="21" t="n">
        <x:v>0</x:v>
      </x:c>
      <x:c r="V183" s="21" t="n">
        <x:v>0</x:v>
      </x:c>
      <x:c r="W183" s="21" t="n">
        <x:v>4.260869565217392</x:v>
      </x:c>
      <x:c r="X183" s="21" t="n">
        <x:v>2.739130434782609</x:v>
      </x:c>
      <x:c r="Y183" s="21" t="n">
        <x:v>34.90893913043479</x:v>
      </x:c>
      <x:c r="Z183" s="21" t="n">
        <x:v>0.21065739130434782</x:v>
      </x:c>
      <x:c r="AA183" s="21" t="n">
        <x:v>18.869565217391305</x:v>
      </x:c>
      <x:c r="AB183" s="21" t="n">
        <x:v>0.78</x:v>
      </x:c>
      <x:c r="AC183" s="21" t="n">
        <x:v>0</x:v>
      </x:c>
      <x:c r="AD183" s="21" t="n">
        <x:v>0</x:v>
      </x:c>
      <x:c r="AE183" s="21" t="n">
        <x:v>0</x:v>
      </x:c>
      <x:c r="AF183" s="21" t="n">
        <x:v>0</x:v>
      </x:c>
      <x:c r="AG183" s="21" t="n">
        <x:v>0</x:v>
      </x:c>
      <x:c r="AH183" s="21" t="n">
        <x:v>0</x:v>
      </x:c>
      <x:c r="AI183" s="21" t="n">
        <x:v>0</x:v>
      </x:c>
      <x:c r="AJ183" s="21" t="n">
        <x:v>0</x:v>
      </x:c>
      <x:c r="AK183" s="21" t="n">
        <x:v>0</x:v>
      </x:c>
      <x:c r="AL183" s="21" t="n">
        <x:v>0</x:v>
      </x:c>
      <x:c r="AM183" s="21" t="n">
        <x:v>1</x:v>
      </x:c>
      <x:c r="AN183" s="21" t="n">
        <x:v>1</x:v>
      </x:c>
      <x:c r="AO183" s="21" t="n">
        <x:v>1</x:v>
      </x:c>
      <x:c r="AP183" s="21" t="n">
        <x:v>0.96</x:v>
      </x:c>
      <x:c r="AQ183" s="21" t="n">
        <x:v>1.03</x:v>
      </x:c>
      <x:c r="AR183" s="21" t="n">
        <x:v>1</x:v>
      </x:c>
      <x:c r="AS183" s="21" t="n">
        <x:v>1</x:v>
      </x:c>
      <x:c r="AT183" s="21" t="n">
        <x:v>1</x:v>
      </x:c>
      <x:c r="AU183" s="21" t="n">
        <x:v>0</x:v>
      </x:c>
      <x:c r="AV183" s="22" t="n">
        <x:f>IF(C183="QB",N183*0.04+O183*4-P183*2+R183*0.1+S183*6,IF(OR(C183="RB",C183="WR",C183="TE"),U183*0.1+V183*6+R183*0.1+S183*6+X183*0.5+Y183*0.1+Z183*6,IF(C183="K",AC183*3+AD183*4+AE183*5+AF183,IF(C183="DST",AG183+AH183*2+AI183*6+AL183,0))))</x:f>
        <x:v>6.244779130434782</x:v>
      </x:c>
      <x:c r="AW183" s="22" t="n">
        <x:f>(AV183+AU183)*G183</x:f>
        <x:v>6.244779130434782</x:v>
      </x:c>
      <x:c r="AX183" s="22" t="n">
        <x:f>MAX(0,AW183*IF(C183="QB",0.68,IF(C183="RB",0.58,IF(C183="WR",0.52,IF(C183="TE",0.50,IF(C183="K",0.55,0.40))))))</x:f>
        <x:v>3.247285147826087</x:v>
      </x:c>
      <x:c r="AY183" s="22" t="n">
        <x:f>AW183*IF(C183="QB",1.32,IF(C183="RB",1.45,IF(C183="WR",1.55,IF(C183="TE",1.60,IF(C183="K",1.45,1.65)))))</x:f>
        <x:v>9.679407652173913</x:v>
      </x:c>
      <x:c r="AZ183" s="12" t="str">
        <x:v>High</x:v>
      </x:c>
      <x:c r="BA183" s="12" t="n">
        <x:v>5</x:v>
      </x:c>
      <x:c r="BB183" s="12" t="n">
        <x:f>COUNTIFS($C$2:$C$344,C183,$AW$2:$AW$344,"&gt;"&amp;AW183,$G$2:$G$344,"&gt;0")+COUNTIFS($C$2:C183,C183,$AW$2:AW183,AW183,$G$2:G183,"&gt;0")</x:f>
        <x:v>47</x:v>
      </x:c>
      <x:c r="BC183" s="12" t="n">
        <x:v>48</x:v>
      </x:c>
      <x:c r="BD183" s="12" t="str">
        <x:f>IF(BB183&lt;BC183,"↑",IF(BB183&gt;BC183,"↓","→"))</x:f>
        <x:v>↑</x:v>
      </x:c>
      <x:c r="BE183" s="23" t="str">
        <x:v>Fantasy Football Brief ROS baseline; official NFL schedule</x:v>
      </x:c>
      <x:c r="BF183" s="23" t="str">
        <x:v>Current role and availability baseline; all adjustment factors shown numerically</x:v>
      </x:c>
      <x:c r="BG183" s="23" t="str">
        <x:v>Material injury, depth-chart, or role change</x:v>
      </x:c>
      <x:c r="BH183" s="24" t="str">
        <x:v>2026-09-23 10:35 CT</x:v>
      </x:c>
    </x:row>
    <x:row r="184">
      <x:c r="A184" s="12" t="str">
        <x:v>Deebo Samuel Sr.</x:v>
      </x:c>
      <x:c r="B184" s="12" t="str">
        <x:v>SF</x:v>
      </x:c>
      <x:c r="C184" s="12" t="str">
        <x:v>WR</x:v>
      </x:c>
      <x:c r="D184" s="12" t="str">
        <x:v>ARI</x:v>
      </x:c>
      <x:c r="E184" s="12" t="str">
        <x:v>Home</x:v>
      </x:c>
      <x:c r="F184" s="12" t="str">
        <x:v>2026-09-27</x:v>
      </x:c>
      <x:c r="G184" s="19" t="n">
        <x:v>1</x:v>
      </x:c>
      <x:c r="H184" s="20" t="str">
        <x:v>ACTIVE</x:v>
      </x:c>
      <x:c r="I184" s="20" t="n">
        <x:v>52</x:v>
      </x:c>
      <x:c r="J184" s="20" t="str">
        <x:v>Routes</x:v>
      </x:c>
      <x:c r="K184" s="20" t="n">
        <x:v>17.971014492753625</x:v>
      </x:c>
      <x:c r="L184" s="21" t="n">
        <x:v>0</x:v>
      </x:c>
      <x:c r="M184" s="21" t="n">
        <x:v>0</x:v>
      </x:c>
      <x:c r="N184" s="21" t="n">
        <x:v>0</x:v>
      </x:c>
      <x:c r="O184" s="21" t="n">
        <x:v>0</x:v>
      </x:c>
      <x:c r="P184" s="21" t="n">
        <x:v>0</x:v>
      </x:c>
      <x:c r="Q184" s="21" t="n">
        <x:v>0.11594202898550726</x:v>
      </x:c>
      <x:c r="R184" s="21" t="n">
        <x:v>1.182608695652174</x:v>
      </x:c>
      <x:c r="S184" s="21" t="n">
        <x:v>0</x:v>
      </x:c>
      <x:c r="T184" s="21" t="n">
        <x:v>0</x:v>
      </x:c>
      <x:c r="U184" s="21" t="n">
        <x:v>0</x:v>
      </x:c>
      <x:c r="V184" s="21" t="n">
        <x:v>0</x:v>
      </x:c>
      <x:c r="W184" s="21" t="n">
        <x:v>4.057971014492754</x:v>
      </x:c>
      <x:c r="X184" s="21" t="n">
        <x:v>2.608695652173913</x:v>
      </x:c>
      <x:c r="Y184" s="21" t="n">
        <x:v>34.29565217391304</x:v>
      </x:c>
      <x:c r="Z184" s="21" t="n">
        <x:v>0.20695652173913043</x:v>
      </x:c>
      <x:c r="AA184" s="21" t="n">
        <x:v>17.971014492753625</x:v>
      </x:c>
      <x:c r="AB184" s="21" t="n">
        <x:v>0.78</x:v>
      </x:c>
      <x:c r="AC184" s="21" t="n">
        <x:v>0</x:v>
      </x:c>
      <x:c r="AD184" s="21" t="n">
        <x:v>0</x:v>
      </x:c>
      <x:c r="AE184" s="21" t="n">
        <x:v>0</x:v>
      </x:c>
      <x:c r="AF184" s="21" t="n">
        <x:v>0</x:v>
      </x:c>
      <x:c r="AG184" s="21" t="n">
        <x:v>0</x:v>
      </x:c>
      <x:c r="AH184" s="21" t="n">
        <x:v>0</x:v>
      </x:c>
      <x:c r="AI184" s="21" t="n">
        <x:v>0</x:v>
      </x:c>
      <x:c r="AJ184" s="21" t="n">
        <x:v>0</x:v>
      </x:c>
      <x:c r="AK184" s="21" t="n">
        <x:v>0</x:v>
      </x:c>
      <x:c r="AL184" s="21" t="n">
        <x:v>0</x:v>
      </x:c>
      <x:c r="AM184" s="21" t="n">
        <x:v>1</x:v>
      </x:c>
      <x:c r="AN184" s="21" t="n">
        <x:v>1</x:v>
      </x:c>
      <x:c r="AO184" s="21" t="n">
        <x:v>1</x:v>
      </x:c>
      <x:c r="AP184" s="21" t="n">
        <x:v>1.02</x:v>
      </x:c>
      <x:c r="AQ184" s="21" t="n">
        <x:v>1</x:v>
      </x:c>
      <x:c r="AR184" s="21" t="n">
        <x:v>1</x:v>
      </x:c>
      <x:c r="AS184" s="21" t="n">
        <x:v>1</x:v>
      </x:c>
      <x:c r="AT184" s="21" t="n">
        <x:v>1</x:v>
      </x:c>
      <x:c r="AU184" s="21" t="n">
        <x:v>0</x:v>
      </x:c>
      <x:c r="AV184" s="22" t="n">
        <x:f>IF(C184="QB",N184*0.04+O184*4-P184*2+R184*0.1+S184*6,IF(OR(C184="RB",C184="WR",C184="TE"),U184*0.1+V184*6+R184*0.1+S184*6+X184*0.5+Y184*0.1+Z184*6,IF(C184="K",AC184*3+AD184*4+AE184*5+AF184,IF(C184="DST",AG184+AH184*2+AI184*6+AL184,0))))</x:f>
        <x:v>6.09391304347826</x:v>
      </x:c>
      <x:c r="AW184" s="22" t="n">
        <x:f>(AV184+AU184)*G184</x:f>
        <x:v>6.09391304347826</x:v>
      </x:c>
      <x:c r="AX184" s="22" t="n">
        <x:f>MAX(0,AW184*IF(C184="QB",0.68,IF(C184="RB",0.58,IF(C184="WR",0.52,IF(C184="TE",0.50,IF(C184="K",0.55,0.40))))))</x:f>
        <x:v>3.168834782608695</x:v>
      </x:c>
      <x:c r="AY184" s="22" t="n">
        <x:f>AW184*IF(C184="QB",1.32,IF(C184="RB",1.45,IF(C184="WR",1.55,IF(C184="TE",1.60,IF(C184="K",1.45,1.65)))))</x:f>
        <x:v>9.445565217391303</x:v>
      </x:c>
      <x:c r="AZ184" s="12" t="str">
        <x:v>High</x:v>
      </x:c>
      <x:c r="BA184" s="12" t="n">
        <x:v>5</x:v>
      </x:c>
      <x:c r="BB184" s="12" t="n">
        <x:f>COUNTIFS($C$2:$C$344,C184,$AW$2:$AW$344,"&gt;"&amp;AW184,$G$2:$G$344,"&gt;0")+COUNTIFS($C$2:C184,C184,$AW$2:AW184,AW184,$G$2:G184,"&gt;0")</x:f>
        <x:v>48</x:v>
      </x:c>
      <x:c r="BC184" s="12" t="n">
        <x:v>49</x:v>
      </x:c>
      <x:c r="BD184" s="12" t="str">
        <x:f>IF(BB184&lt;BC184,"↑",IF(BB184&gt;BC184,"↓","→"))</x:f>
        <x:v>↑</x:v>
      </x:c>
      <x:c r="BE184" s="23" t="str">
        <x:v>Fantasy Football Brief ROS baseline; official NFL schedule</x:v>
      </x:c>
      <x:c r="BF184" s="23" t="str">
        <x:v>Current role and availability baseline; all adjustment factors shown numerically</x:v>
      </x:c>
      <x:c r="BG184" s="23" t="str">
        <x:v>Material injury, depth-chart, or role change</x:v>
      </x:c>
      <x:c r="BH184" s="24" t="str">
        <x:v>2026-09-23 10:35 CT</x:v>
      </x:c>
    </x:row>
    <x:row r="185">
      <x:c r="A185" s="12" t="str">
        <x:v>Khalil Shakir</x:v>
      </x:c>
      <x:c r="B185" s="12" t="str">
        <x:v>BUF</x:v>
      </x:c>
      <x:c r="C185" s="12" t="str">
        <x:v>WR</x:v>
      </x:c>
      <x:c r="D185" s="12" t="str">
        <x:v>LAC</x:v>
      </x:c>
      <x:c r="E185" s="12" t="str">
        <x:v>Home</x:v>
      </x:c>
      <x:c r="F185" s="12" t="str">
        <x:v>2026-09-27</x:v>
      </x:c>
      <x:c r="G185" s="19" t="n">
        <x:v>1</x:v>
      </x:c>
      <x:c r="H185" s="20" t="str">
        <x:v>ACTIVE</x:v>
      </x:c>
      <x:c r="I185" s="20" t="n">
        <x:v>52</x:v>
      </x:c>
      <x:c r="J185" s="20" t="str">
        <x:v>Routes</x:v>
      </x:c>
      <x:c r="K185" s="20" t="n">
        <x:v>17.971014492753625</x:v>
      </x:c>
      <x:c r="L185" s="21" t="n">
        <x:v>0</x:v>
      </x:c>
      <x:c r="M185" s="21" t="n">
        <x:v>0</x:v>
      </x:c>
      <x:c r="N185" s="21" t="n">
        <x:v>0</x:v>
      </x:c>
      <x:c r="O185" s="21" t="n">
        <x:v>0</x:v>
      </x:c>
      <x:c r="P185" s="21" t="n">
        <x:v>0</x:v>
      </x:c>
      <x:c r="Q185" s="21" t="n">
        <x:v>0.11594202898550726</x:v>
      </x:c>
      <x:c r="R185" s="21" t="n">
        <x:v>1.18168115942029</x:v>
      </x:c>
      <x:c r="S185" s="21" t="n">
        <x:v>0</x:v>
      </x:c>
      <x:c r="T185" s="21" t="n">
        <x:v>0</x:v>
      </x:c>
      <x:c r="U185" s="21" t="n">
        <x:v>0</x:v>
      </x:c>
      <x:c r="V185" s="21" t="n">
        <x:v>0</x:v>
      </x:c>
      <x:c r="W185" s="21" t="n">
        <x:v>4.057971014492754</x:v>
      </x:c>
      <x:c r="X185" s="21" t="n">
        <x:v>2.608695652173913</x:v>
      </x:c>
      <x:c r="Y185" s="21" t="n">
        <x:v>34.26875362318841</x:v>
      </x:c>
      <x:c r="Z185" s="21" t="n">
        <x:v>0.20679420289855074</x:v>
      </x:c>
      <x:c r="AA185" s="21" t="n">
        <x:v>17.971014492753625</x:v>
      </x:c>
      <x:c r="AB185" s="21" t="n">
        <x:v>0.78</x:v>
      </x:c>
      <x:c r="AC185" s="21" t="n">
        <x:v>0</x:v>
      </x:c>
      <x:c r="AD185" s="21" t="n">
        <x:v>0</x:v>
      </x:c>
      <x:c r="AE185" s="21" t="n">
        <x:v>0</x:v>
      </x:c>
      <x:c r="AF185" s="21" t="n">
        <x:v>0</x:v>
      </x:c>
      <x:c r="AG185" s="21" t="n">
        <x:v>0</x:v>
      </x:c>
      <x:c r="AH185" s="21" t="n">
        <x:v>0</x:v>
      </x:c>
      <x:c r="AI185" s="21" t="n">
        <x:v>0</x:v>
      </x:c>
      <x:c r="AJ185" s="21" t="n">
        <x:v>0</x:v>
      </x:c>
      <x:c r="AK185" s="21" t="n">
        <x:v>0</x:v>
      </x:c>
      <x:c r="AL185" s="21" t="n">
        <x:v>0</x:v>
      </x:c>
      <x:c r="AM185" s="21" t="n">
        <x:v>1</x:v>
      </x:c>
      <x:c r="AN185" s="21" t="n">
        <x:v>1</x:v>
      </x:c>
      <x:c r="AO185" s="21" t="n">
        <x:v>1</x:v>
      </x:c>
      <x:c r="AP185" s="21" t="n">
        <x:v>1.04</x:v>
      </x:c>
      <x:c r="AQ185" s="21" t="n">
        <x:v>0.98</x:v>
      </x:c>
      <x:c r="AR185" s="21" t="n">
        <x:v>1</x:v>
      </x:c>
      <x:c r="AS185" s="21" t="n">
        <x:v>1</x:v>
      </x:c>
      <x:c r="AT185" s="21" t="n">
        <x:v>1</x:v>
      </x:c>
      <x:c r="AU185" s="21" t="n">
        <x:v>0</x:v>
      </x:c>
      <x:c r="AV185" s="22" t="n">
        <x:f>IF(C185="QB",N185*0.04+O185*4-P185*2+R185*0.1+S185*6,IF(OR(C185="RB",C185="WR",C185="TE"),U185*0.1+V185*6+R185*0.1+S185*6+X185*0.5+Y185*0.1+Z185*6,IF(C185="K",AC185*3+AD185*4+AE185*5+AF185,IF(C185="DST",AG185+AH185*2+AI185*6+AL185,0))))</x:f>
        <x:v>6.090156521739131</x:v>
      </x:c>
      <x:c r="AW185" s="22" t="n">
        <x:f>(AV185+AU185)*G185</x:f>
        <x:v>6.090156521739131</x:v>
      </x:c>
      <x:c r="AX185" s="22" t="n">
        <x:f>MAX(0,AW185*IF(C185="QB",0.68,IF(C185="RB",0.58,IF(C185="WR",0.52,IF(C185="TE",0.50,IF(C185="K",0.55,0.40))))))</x:f>
        <x:v>3.1668813913043485</x:v>
      </x:c>
      <x:c r="AY185" s="22" t="n">
        <x:f>AW185*IF(C185="QB",1.32,IF(C185="RB",1.45,IF(C185="WR",1.55,IF(C185="TE",1.60,IF(C185="K",1.45,1.65)))))</x:f>
        <x:v>9.439742608695655</x:v>
      </x:c>
      <x:c r="AZ185" s="12" t="str">
        <x:v>High</x:v>
      </x:c>
      <x:c r="BA185" s="12" t="n">
        <x:v>5</x:v>
      </x:c>
      <x:c r="BB185" s="12" t="n">
        <x:f>COUNTIFS($C$2:$C$344,C185,$AW$2:$AW$344,"&gt;"&amp;AW185,$G$2:$G$344,"&gt;0")+COUNTIFS($C$2:C185,C185,$AW$2:AW185,AW185,$G$2:G185,"&gt;0")</x:f>
        <x:v>49</x:v>
      </x:c>
      <x:c r="BC185" s="12" t="n">
        <x:v>50</x:v>
      </x:c>
      <x:c r="BD185" s="12" t="str">
        <x:f>IF(BB185&lt;BC185,"↑",IF(BB185&gt;BC185,"↓","→"))</x:f>
        <x:v>↑</x:v>
      </x:c>
      <x:c r="BE185" s="23" t="str">
        <x:v>Fantasy Football Brief ROS baseline; official NFL schedule</x:v>
      </x:c>
      <x:c r="BF185" s="23" t="str">
        <x:v>Current role and availability baseline; all adjustment factors shown numerically</x:v>
      </x:c>
      <x:c r="BG185" s="23" t="str">
        <x:v>Material injury, depth-chart, or role change</x:v>
      </x:c>
      <x:c r="BH185" s="24" t="str">
        <x:v>2026-09-23 10:35 CT</x:v>
      </x:c>
    </x:row>
    <x:row r="186">
      <x:c r="A186" s="12" t="str">
        <x:v>A.J. Brown</x:v>
      </x:c>
      <x:c r="B186" s="12" t="str">
        <x:v>NE</x:v>
      </x:c>
      <x:c r="C186" s="12" t="str">
        <x:v>WR</x:v>
      </x:c>
      <x:c r="D186" s="12" t="str">
        <x:v>JAX</x:v>
      </x:c>
      <x:c r="E186" s="12" t="str">
        <x:v>Away</x:v>
      </x:c>
      <x:c r="F186" s="12" t="str">
        <x:v>2026-09-27</x:v>
      </x:c>
      <x:c r="G186" s="19" t="n">
        <x:v>0</x:v>
      </x:c>
      <x:c r="H186" s="20" t="str">
        <x:v>IR</x:v>
      </x:c>
      <x:c r="I186" s="20" t="n">
        <x:v>34.666666666666664</x:v>
      </x:c>
      <x:c r="J186" s="20" t="str">
        <x:v>Routes</x:v>
      </x:c>
      <x:c r="K186" s="20" t="n">
        <x:v>27.256038647342997</x:v>
      </x:c>
      <x:c r="L186" s="21" t="n">
        <x:v>0</x:v>
      </x:c>
      <x:c r="M186" s="21" t="n">
        <x:v>0</x:v>
      </x:c>
      <x:c r="N186" s="21" t="n">
        <x:v>0</x:v>
      </x:c>
      <x:c r="O186" s="21" t="n">
        <x:v>0</x:v>
      </x:c>
      <x:c r="P186" s="21" t="n">
        <x:v>0</x:v>
      </x:c>
      <x:c r="Q186" s="21" t="n">
        <x:v>0.17584541062801934</x:v>
      </x:c>
      <x:c r="R186" s="21" t="n">
        <x:v>1.7577507246376813</x:v>
      </x:c>
      <x:c r="S186" s="21" t="n">
        <x:v>0</x:v>
      </x:c>
      <x:c r="T186" s="21" t="n">
        <x:v>0</x:v>
      </x:c>
      <x:c r="U186" s="21" t="n">
        <x:v>0</x:v>
      </x:c>
      <x:c r="V186" s="21" t="n">
        <x:v>0</x:v>
      </x:c>
      <x:c r="W186" s="21" t="n">
        <x:v>6.154589371980676</x:v>
      </x:c>
      <x:c r="X186" s="21" t="n">
        <x:v>3.956521739130435</x:v>
      </x:c>
      <x:c r="Y186" s="21" t="n">
        <x:v>50.97477101449276</x:v>
      </x:c>
      <x:c r="Z186" s="21" t="n">
        <x:v>0.30760637681159425</x:v>
      </x:c>
      <x:c r="AA186" s="21" t="n">
        <x:v>27.256038647342997</x:v>
      </x:c>
      <x:c r="AB186" s="21" t="n">
        <x:v>0.78</x:v>
      </x:c>
      <x:c r="AC186" s="21" t="n">
        <x:v>0</x:v>
      </x:c>
      <x:c r="AD186" s="21" t="n">
        <x:v>0</x:v>
      </x:c>
      <x:c r="AE186" s="21" t="n">
        <x:v>0</x:v>
      </x:c>
      <x:c r="AF186" s="21" t="n">
        <x:v>0</x:v>
      </x:c>
      <x:c r="AG186" s="21" t="n">
        <x:v>0</x:v>
      </x:c>
      <x:c r="AH186" s="21" t="n">
        <x:v>0</x:v>
      </x:c>
      <x:c r="AI186" s="21" t="n">
        <x:v>0</x:v>
      </x:c>
      <x:c r="AJ186" s="21" t="n">
        <x:v>0</x:v>
      </x:c>
      <x:c r="AK186" s="21" t="n">
        <x:v>0</x:v>
      </x:c>
      <x:c r="AL186" s="21" t="n">
        <x:v>0</x:v>
      </x:c>
      <x:c r="AM186" s="21" t="n">
        <x:v>0.6666666666666666</x:v>
      </x:c>
      <x:c r="AN186" s="21" t="n">
        <x:v>1</x:v>
      </x:c>
      <x:c r="AO186" s="21" t="n">
        <x:v>1</x:v>
      </x:c>
      <x:c r="AP186" s="21" t="n">
        <x:v>0.98</x:v>
      </x:c>
      <x:c r="AQ186" s="21" t="n">
        <x:v>1.02</x:v>
      </x:c>
      <x:c r="AR186" s="21" t="n">
        <x:v>1</x:v>
      </x:c>
      <x:c r="AS186" s="21" t="n">
        <x:v>1</x:v>
      </x:c>
      <x:c r="AT186" s="21" t="n">
        <x:v>1</x:v>
      </x:c>
      <x:c r="AU186" s="21" t="n">
        <x:v>0</x:v>
      </x:c>
      <x:c r="AV186" s="22" t="n">
        <x:f>IF(C186="QB",N186*0.04+O186*4-P186*2+R186*0.1+S186*6,IF(OR(C186="RB",C186="WR",C186="TE"),U186*0.1+V186*6+R186*0.1+S186*6+X186*0.5+Y186*0.1+Z186*6,IF(C186="K",AC186*3+AD186*4+AE186*5+AF186,IF(C186="DST",AG186+AH186*2+AI186*6+AL186,0))))</x:f>
        <x:v>9.097151304347827</x:v>
      </x:c>
      <x:c r="AW186" s="22" t="n">
        <x:f>(AV186+AU186)*G186</x:f>
        <x:v>0</x:v>
      </x:c>
      <x:c r="AX186" s="22" t="n">
        <x:f>MAX(0,AW186*IF(C186="QB",0.68,IF(C186="RB",0.58,IF(C186="WR",0.52,IF(C186="TE",0.50,IF(C186="K",0.55,0.40))))))</x:f>
        <x:v>0</x:v>
      </x:c>
      <x:c r="AY186" s="22" t="n">
        <x:f>AW186*IF(C186="QB",1.32,IF(C186="RB",1.45,IF(C186="WR",1.55,IF(C186="TE",1.60,IF(C186="K",1.45,1.65)))))</x:f>
        <x:v>0</x:v>
      </x:c>
      <x:c r="AZ186" s="12" t="str">
        <x:v>High</x:v>
      </x:c>
      <x:c r="BA186" s="12" t="n">
        <x:v>5</x:v>
      </x:c>
      <x:c r="BB186" s="12"/>
      <x:c r="BC186" s="12" t="str">
        <x:v>NR</x:v>
      </x:c>
      <x:c r="BD186" s="12" t="str">
        <x:v>New</x:v>
      </x:c>
      <x:c r="BE186" s="23" t="str">
        <x:v>https://www.patriots.com/news/patriots-sign-veteran-dt-daquan-jones-and-place-wr-a-j-brown-on-ir</x:v>
      </x:c>
      <x:c r="BF186" s="23" t="str">
        <x:v>New England placed Brown on injured reserve. Conditional inputs remain visible for audit; expected Week 3 points are zero.</x:v>
      </x:c>
      <x:c r="BG186" s="23" t="str">
        <x:v>Official activation or new-team transaction</x:v>
      </x:c>
      <x:c r="BH186" s="24" t="str">
        <x:v>2026-09-24 1:18 PM CT</x:v>
      </x:c>
    </x:row>
    <x:row r="187">
      <x:c r="A187" s="12" t="str">
        <x:v>Tre' Harris</x:v>
      </x:c>
      <x:c r="B187" s="12" t="str">
        <x:v>LAC</x:v>
      </x:c>
      <x:c r="C187" s="12" t="str">
        <x:v>WR</x:v>
      </x:c>
      <x:c r="D187" s="12" t="str">
        <x:v>BUF</x:v>
      </x:c>
      <x:c r="E187" s="12" t="str">
        <x:v>Away</x:v>
      </x:c>
      <x:c r="F187" s="12" t="str">
        <x:v>2026-09-27</x:v>
      </x:c>
      <x:c r="G187" s="19" t="n">
        <x:v>1</x:v>
      </x:c>
      <x:c r="H187" s="20" t="str">
        <x:v>ACTIVE</x:v>
      </x:c>
      <x:c r="I187" s="20" t="n">
        <x:v>52</x:v>
      </x:c>
      <x:c r="J187" s="20" t="str">
        <x:v>Routes</x:v>
      </x:c>
      <x:c r="K187" s="20" t="n">
        <x:v>18.570048309178745</x:v>
      </x:c>
      <x:c r="L187" s="21" t="n">
        <x:v>0</x:v>
      </x:c>
      <x:c r="M187" s="21" t="n">
        <x:v>0</x:v>
      </x:c>
      <x:c r="N187" s="21" t="n">
        <x:v>0</x:v>
      </x:c>
      <x:c r="O187" s="21" t="n">
        <x:v>0</x:v>
      </x:c>
      <x:c r="P187" s="21" t="n">
        <x:v>0</x:v>
      </x:c>
      <x:c r="Q187" s="21" t="n">
        <x:v>0.11980676328502415</x:v>
      </x:c>
      <x:c r="R187" s="21" t="n">
        <x:v>1.161646376811594</x:v>
      </x:c>
      <x:c r="S187" s="21" t="n">
        <x:v>0</x:v>
      </x:c>
      <x:c r="T187" s="21" t="n">
        <x:v>0</x:v>
      </x:c>
      <x:c r="U187" s="21" t="n">
        <x:v>0</x:v>
      </x:c>
      <x:c r="V187" s="21" t="n">
        <x:v>0</x:v>
      </x:c>
      <x:c r="W187" s="21" t="n">
        <x:v>4.193236714975845</x:v>
      </x:c>
      <x:c r="X187" s="21" t="n">
        <x:v>2.6956521739130435</x:v>
      </x:c>
      <x:c r="Y187" s="21" t="n">
        <x:v>33.68774492753623</x:v>
      </x:c>
      <x:c r="Z187" s="21" t="n">
        <x:v>0.20328811594202897</x:v>
      </x:c>
      <x:c r="AA187" s="21" t="n">
        <x:v>18.570048309178745</x:v>
      </x:c>
      <x:c r="AB187" s="21" t="n">
        <x:v>0.78</x:v>
      </x:c>
      <x:c r="AC187" s="21" t="n">
        <x:v>0</x:v>
      </x:c>
      <x:c r="AD187" s="21" t="n">
        <x:v>0</x:v>
      </x:c>
      <x:c r="AE187" s="21" t="n">
        <x:v>0</x:v>
      </x:c>
      <x:c r="AF187" s="21" t="n">
        <x:v>0</x:v>
      </x:c>
      <x:c r="AG187" s="21" t="n">
        <x:v>0</x:v>
      </x:c>
      <x:c r="AH187" s="21" t="n">
        <x:v>0</x:v>
      </x:c>
      <x:c r="AI187" s="21" t="n">
        <x:v>0</x:v>
      </x:c>
      <x:c r="AJ187" s="21" t="n">
        <x:v>0</x:v>
      </x:c>
      <x:c r="AK187" s="21" t="n">
        <x:v>0</x:v>
      </x:c>
      <x:c r="AL187" s="21" t="n">
        <x:v>0</x:v>
      </x:c>
      <x:c r="AM187" s="21" t="n">
        <x:v>1</x:v>
      </x:c>
      <x:c r="AN187" s="21" t="n">
        <x:v>1</x:v>
      </x:c>
      <x:c r="AO187" s="21" t="n">
        <x:v>1</x:v>
      </x:c>
      <x:c r="AP187" s="21" t="n">
        <x:v>1.01</x:v>
      </x:c>
      <x:c r="AQ187" s="21" t="n">
        <x:v>0.96</x:v>
      </x:c>
      <x:c r="AR187" s="21" t="n">
        <x:v>1</x:v>
      </x:c>
      <x:c r="AS187" s="21" t="n">
        <x:v>1</x:v>
      </x:c>
      <x:c r="AT187" s="21" t="n">
        <x:v>1</x:v>
      </x:c>
      <x:c r="AU187" s="21" t="n">
        <x:v>0</x:v>
      </x:c>
      <x:c r="AV187" s="22" t="n">
        <x:f>IF(C187="QB",N187*0.04+O187*4-P187*2+R187*0.1+S187*6,IF(OR(C187="RB",C187="WR",C187="TE"),U187*0.1+V187*6+R187*0.1+S187*6+X187*0.5+Y187*0.1+Z187*6,IF(C187="K",AC187*3+AD187*4+AE187*5+AF187,IF(C187="DST",AG187+AH187*2+AI187*6+AL187,0))))</x:f>
        <x:v>6.052493913043478</x:v>
      </x:c>
      <x:c r="AW187" s="22" t="n">
        <x:f>(AV187+AU187)*G187</x:f>
        <x:v>6.052493913043478</x:v>
      </x:c>
      <x:c r="AX187" s="22" t="n">
        <x:f>MAX(0,AW187*IF(C187="QB",0.68,IF(C187="RB",0.58,IF(C187="WR",0.52,IF(C187="TE",0.50,IF(C187="K",0.55,0.40))))))</x:f>
        <x:v>3.1472968347826087</x:v>
      </x:c>
      <x:c r="AY187" s="22" t="n">
        <x:f>AW187*IF(C187="QB",1.32,IF(C187="RB",1.45,IF(C187="WR",1.55,IF(C187="TE",1.60,IF(C187="K",1.45,1.65)))))</x:f>
        <x:v>9.381365565217392</x:v>
      </x:c>
      <x:c r="AZ187" s="12" t="str">
        <x:v>High</x:v>
      </x:c>
      <x:c r="BA187" s="12" t="n">
        <x:v>5</x:v>
      </x:c>
      <x:c r="BB187" s="12" t="n">
        <x:f>COUNTIFS($C$2:$C$344,C187,$AW$2:$AW$344,"&gt;"&amp;AW187,$G$2:$G$344,"&gt;0")+COUNTIFS($C$2:C187,C187,$AW$2:AW187,AW187,$G$2:G187,"&gt;0")</x:f>
        <x:v>50</x:v>
      </x:c>
      <x:c r="BC187" s="12" t="n">
        <x:v>51</x:v>
      </x:c>
      <x:c r="BD187" s="12" t="str">
        <x:f>IF(BB187&lt;BC187,"↑",IF(BB187&gt;BC187,"↓","→"))</x:f>
        <x:v>↑</x:v>
      </x:c>
      <x:c r="BE187" s="23" t="str">
        <x:v>Fantasy Football Brief ROS baseline; official NFL schedule</x:v>
      </x:c>
      <x:c r="BF187" s="23" t="str">
        <x:v>Current role and availability baseline; all adjustment factors shown numerically</x:v>
      </x:c>
      <x:c r="BG187" s="23" t="str">
        <x:v>Material injury, depth-chart, or role change</x:v>
      </x:c>
      <x:c r="BH187" s="24" t="str">
        <x:v>2026-09-23 10:35 CT</x:v>
      </x:c>
    </x:row>
    <x:row r="188">
      <x:c r="A188" s="12" t="str">
        <x:v>Devaughn Vele</x:v>
      </x:c>
      <x:c r="B188" s="12" t="str">
        <x:v>NO</x:v>
      </x:c>
      <x:c r="C188" s="12" t="str">
        <x:v>WR</x:v>
      </x:c>
      <x:c r="D188" s="12" t="str">
        <x:v>LV</x:v>
      </x:c>
      <x:c r="E188" s="12" t="str">
        <x:v>Home</x:v>
      </x:c>
      <x:c r="F188" s="12" t="str">
        <x:v>2026-09-27</x:v>
      </x:c>
      <x:c r="G188" s="19" t="n">
        <x:v>1</x:v>
      </x:c>
      <x:c r="H188" s="20" t="str">
        <x:v>ACTIVE</x:v>
      </x:c>
      <x:c r="I188" s="20" t="n">
        <x:v>52</x:v>
      </x:c>
      <x:c r="J188" s="20" t="str">
        <x:v>Routes</x:v>
      </x:c>
      <x:c r="K188" s="20" t="n">
        <x:v>18.27053140096618</x:v>
      </x:c>
      <x:c r="L188" s="21" t="n">
        <x:v>0</x:v>
      </x:c>
      <x:c r="M188" s="21" t="n">
        <x:v>0</x:v>
      </x:c>
      <x:c r="N188" s="21" t="n">
        <x:v>0</x:v>
      </x:c>
      <x:c r="O188" s="21" t="n">
        <x:v>0</x:v>
      </x:c>
      <x:c r="P188" s="21" t="n">
        <x:v>0</x:v>
      </x:c>
      <x:c r="Q188" s="21" t="n">
        <x:v>0.1178743961352657</x:v>
      </x:c>
      <x:c r="R188" s="21" t="n">
        <x:v>1.1669565217391302</x:v>
      </x:c>
      <x:c r="S188" s="21" t="n">
        <x:v>0</x:v>
      </x:c>
      <x:c r="T188" s="21" t="n">
        <x:v>0</x:v>
      </x:c>
      <x:c r="U188" s="21" t="n">
        <x:v>0</x:v>
      </x:c>
      <x:c r="V188" s="21" t="n">
        <x:v>0</x:v>
      </x:c>
      <x:c r="W188" s="21" t="n">
        <x:v>4.125603864734299</x:v>
      </x:c>
      <x:c r="X188" s="21" t="n">
        <x:v>2.652173913043478</x:v>
      </x:c>
      <x:c r="Y188" s="21" t="n">
        <x:v>33.84173913043478</x:v>
      </x:c>
      <x:c r="Z188" s="21" t="n">
        <x:v>0.2042173913043478</x:v>
      </x:c>
      <x:c r="AA188" s="21" t="n">
        <x:v>18.27053140096618</x:v>
      </x:c>
      <x:c r="AB188" s="21" t="n">
        <x:v>0.78</x:v>
      </x:c>
      <x:c r="AC188" s="21" t="n">
        <x:v>0</x:v>
      </x:c>
      <x:c r="AD188" s="21" t="n">
        <x:v>0</x:v>
      </x:c>
      <x:c r="AE188" s="21" t="n">
        <x:v>0</x:v>
      </x:c>
      <x:c r="AF188" s="21" t="n">
        <x:v>0</x:v>
      </x:c>
      <x:c r="AG188" s="21" t="n">
        <x:v>0</x:v>
      </x:c>
      <x:c r="AH188" s="21" t="n">
        <x:v>0</x:v>
      </x:c>
      <x:c r="AI188" s="21" t="n">
        <x:v>0</x:v>
      </x:c>
      <x:c r="AJ188" s="21" t="n">
        <x:v>0</x:v>
      </x:c>
      <x:c r="AK188" s="21" t="n">
        <x:v>0</x:v>
      </x:c>
      <x:c r="AL188" s="21" t="n">
        <x:v>0</x:v>
      </x:c>
      <x:c r="AM188" s="21" t="n">
        <x:v>1</x:v>
      </x:c>
      <x:c r="AN188" s="21" t="n">
        <x:v>1</x:v>
      </x:c>
      <x:c r="AO188" s="21" t="n">
        <x:v>1</x:v>
      </x:c>
      <x:c r="AP188" s="21" t="n">
        <x:v>0.99</x:v>
      </x:c>
      <x:c r="AQ188" s="21" t="n">
        <x:v>1</x:v>
      </x:c>
      <x:c r="AR188" s="21" t="n">
        <x:v>1</x:v>
      </x:c>
      <x:c r="AS188" s="21" t="n">
        <x:v>1</x:v>
      </x:c>
      <x:c r="AT188" s="21" t="n">
        <x:v>1</x:v>
      </x:c>
      <x:c r="AU188" s="21" t="n">
        <x:v>0</x:v>
      </x:c>
      <x:c r="AV188" s="22" t="n">
        <x:f>IF(C188="QB",N188*0.04+O188*4-P188*2+R188*0.1+S188*6,IF(OR(C188="RB",C188="WR",C188="TE"),U188*0.1+V188*6+R188*0.1+S188*6+X188*0.5+Y188*0.1+Z188*6,IF(C188="K",AC188*3+AD188*4+AE188*5+AF188,IF(C188="DST",AG188+AH188*2+AI188*6+AL188,0))))</x:f>
        <x:v>6.052260869565217</x:v>
      </x:c>
      <x:c r="AW188" s="22" t="n">
        <x:f>(AV188+AU188)*G188</x:f>
        <x:v>6.052260869565217</x:v>
      </x:c>
      <x:c r="AX188" s="22" t="n">
        <x:f>MAX(0,AW188*IF(C188="QB",0.68,IF(C188="RB",0.58,IF(C188="WR",0.52,IF(C188="TE",0.50,IF(C188="K",0.55,0.40))))))</x:f>
        <x:v>3.147175652173913</x:v>
      </x:c>
      <x:c r="AY188" s="22" t="n">
        <x:f>AW188*IF(C188="QB",1.32,IF(C188="RB",1.45,IF(C188="WR",1.55,IF(C188="TE",1.60,IF(C188="K",1.45,1.65)))))</x:f>
        <x:v>9.381004347826087</x:v>
      </x:c>
      <x:c r="AZ188" s="12" t="str">
        <x:v>High</x:v>
      </x:c>
      <x:c r="BA188" s="12" t="n">
        <x:v>5</x:v>
      </x:c>
      <x:c r="BB188" s="12" t="n">
        <x:f>COUNTIFS($C$2:$C$344,C188,$AW$2:$AW$344,"&gt;"&amp;AW188,$G$2:$G$344,"&gt;0")+COUNTIFS($C$2:C188,C188,$AW$2:AW188,AW188,$G$2:G188,"&gt;0")</x:f>
        <x:v>51</x:v>
      </x:c>
      <x:c r="BC188" s="12" t="n">
        <x:v>52</x:v>
      </x:c>
      <x:c r="BD188" s="12" t="str">
        <x:f>IF(BB188&lt;BC188,"↑",IF(BB188&gt;BC188,"↓","→"))</x:f>
        <x:v>↑</x:v>
      </x:c>
      <x:c r="BE188" s="23" t="str">
        <x:v>Fantasy Football Brief ROS baseline; official NFL schedule</x:v>
      </x:c>
      <x:c r="BF188" s="23" t="str">
        <x:v>Current role and availability baseline; all adjustment factors shown numerically</x:v>
      </x:c>
      <x:c r="BG188" s="23" t="str">
        <x:v>Material injury, depth-chart, or role change</x:v>
      </x:c>
      <x:c r="BH188" s="24" t="str">
        <x:v>2026-09-23 10:35 CT</x:v>
      </x:c>
    </x:row>
    <x:row r="189">
      <x:c r="A189" s="12" t="str">
        <x:v>Denzel Boston</x:v>
      </x:c>
      <x:c r="B189" s="12" t="str">
        <x:v>CLE</x:v>
      </x:c>
      <x:c r="C189" s="12" t="str">
        <x:v>WR</x:v>
      </x:c>
      <x:c r="D189" s="12" t="str">
        <x:v>CAR</x:v>
      </x:c>
      <x:c r="E189" s="12" t="str">
        <x:v>Home</x:v>
      </x:c>
      <x:c r="F189" s="12" t="str">
        <x:v>2026-09-27</x:v>
      </x:c>
      <x:c r="G189" s="19" t="n">
        <x:v>1</x:v>
      </x:c>
      <x:c r="H189" s="20" t="str">
        <x:v>ACTIVE</x:v>
      </x:c>
      <x:c r="I189" s="20" t="n">
        <x:v>52</x:v>
      </x:c>
      <x:c r="J189" s="20" t="str">
        <x:v>Routes</x:v>
      </x:c>
      <x:c r="K189" s="20" t="n">
        <x:v>17.971014492753625</x:v>
      </x:c>
      <x:c r="L189" s="21" t="n">
        <x:v>0</x:v>
      </x:c>
      <x:c r="M189" s="21" t="n">
        <x:v>0</x:v>
      </x:c>
      <x:c r="N189" s="21" t="n">
        <x:v>0</x:v>
      </x:c>
      <x:c r="O189" s="21" t="n">
        <x:v>0</x:v>
      </x:c>
      <x:c r="P189" s="21" t="n">
        <x:v>0</x:v>
      </x:c>
      <x:c r="Q189" s="21" t="n">
        <x:v>0.11594202898550726</x:v>
      </x:c>
      <x:c r="R189" s="21" t="n">
        <x:v>1.169623188405797</x:v>
      </x:c>
      <x:c r="S189" s="21" t="n">
        <x:v>0</x:v>
      </x:c>
      <x:c r="T189" s="21" t="n">
        <x:v>0</x:v>
      </x:c>
      <x:c r="U189" s="21" t="n">
        <x:v>0</x:v>
      </x:c>
      <x:c r="V189" s="21" t="n">
        <x:v>0</x:v>
      </x:c>
      <x:c r="W189" s="21" t="n">
        <x:v>4.057971014492754</x:v>
      </x:c>
      <x:c r="X189" s="21" t="n">
        <x:v>2.608695652173913</x:v>
      </x:c>
      <x:c r="Y189" s="21" t="n">
        <x:v>33.91907246376811</x:v>
      </x:c>
      <x:c r="Z189" s="21" t="n">
        <x:v>0.20468405797101447</x:v>
      </x:c>
      <x:c r="AA189" s="21" t="n">
        <x:v>17.971014492753625</x:v>
      </x:c>
      <x:c r="AB189" s="21" t="n">
        <x:v>0.78</x:v>
      </x:c>
      <x:c r="AC189" s="21" t="n">
        <x:v>0</x:v>
      </x:c>
      <x:c r="AD189" s="21" t="n">
        <x:v>0</x:v>
      </x:c>
      <x:c r="AE189" s="21" t="n">
        <x:v>0</x:v>
      </x:c>
      <x:c r="AF189" s="21" t="n">
        <x:v>0</x:v>
      </x:c>
      <x:c r="AG189" s="21" t="n">
        <x:v>0</x:v>
      </x:c>
      <x:c r="AH189" s="21" t="n">
        <x:v>0</x:v>
      </x:c>
      <x:c r="AI189" s="21" t="n">
        <x:v>0</x:v>
      </x:c>
      <x:c r="AJ189" s="21" t="n">
        <x:v>0</x:v>
      </x:c>
      <x:c r="AK189" s="21" t="n">
        <x:v>0</x:v>
      </x:c>
      <x:c r="AL189" s="21" t="n">
        <x:v>0</x:v>
      </x:c>
      <x:c r="AM189" s="21" t="n">
        <x:v>1</x:v>
      </x:c>
      <x:c r="AN189" s="21" t="n">
        <x:v>1</x:v>
      </x:c>
      <x:c r="AO189" s="21" t="n">
        <x:v>1</x:v>
      </x:c>
      <x:c r="AP189" s="21" t="n">
        <x:v>0.97</x:v>
      </x:c>
      <x:c r="AQ189" s="21" t="n">
        <x:v>1.04</x:v>
      </x:c>
      <x:c r="AR189" s="21" t="n">
        <x:v>1</x:v>
      </x:c>
      <x:c r="AS189" s="21" t="n">
        <x:v>1</x:v>
      </x:c>
      <x:c r="AT189" s="21" t="n">
        <x:v>1</x:v>
      </x:c>
      <x:c r="AU189" s="21" t="n">
        <x:v>0</x:v>
      </x:c>
      <x:c r="AV189" s="22" t="n">
        <x:f>IF(C189="QB",N189*0.04+O189*4-P189*2+R189*0.1+S189*6,IF(OR(C189="RB",C189="WR",C189="TE"),U189*0.1+V189*6+R189*0.1+S189*6+X189*0.5+Y189*0.1+Z189*6,IF(C189="K",AC189*3+AD189*4+AE189*5+AF189,IF(C189="DST",AG189+AH189*2+AI189*6+AL189,0))))</x:f>
        <x:v>6.041321739130433</x:v>
      </x:c>
      <x:c r="AW189" s="22" t="n">
        <x:f>(AV189+AU189)*G189</x:f>
        <x:v>6.041321739130433</x:v>
      </x:c>
      <x:c r="AX189" s="22" t="n">
        <x:f>MAX(0,AW189*IF(C189="QB",0.68,IF(C189="RB",0.58,IF(C189="WR",0.52,IF(C189="TE",0.50,IF(C189="K",0.55,0.40))))))</x:f>
        <x:v>3.1414873043478253</x:v>
      </x:c>
      <x:c r="AY189" s="22" t="n">
        <x:f>AW189*IF(C189="QB",1.32,IF(C189="RB",1.45,IF(C189="WR",1.55,IF(C189="TE",1.60,IF(C189="K",1.45,1.65)))))</x:f>
        <x:v>9.364048695652173</x:v>
      </x:c>
      <x:c r="AZ189" s="12" t="str">
        <x:v>High</x:v>
      </x:c>
      <x:c r="BA189" s="12" t="n">
        <x:v>5</x:v>
      </x:c>
      <x:c r="BB189" s="12" t="n">
        <x:f>COUNTIFS($C$2:$C$344,C189,$AW$2:$AW$344,"&gt;"&amp;AW189,$G$2:$G$344,"&gt;0")+COUNTIFS($C$2:C189,C189,$AW$2:AW189,AW189,$G$2:G189,"&gt;0")</x:f>
        <x:v>52</x:v>
      </x:c>
      <x:c r="BC189" s="12" t="n">
        <x:v>53</x:v>
      </x:c>
      <x:c r="BD189" s="12" t="str">
        <x:f>IF(BB189&lt;BC189,"↑",IF(BB189&gt;BC189,"↓","→"))</x:f>
        <x:v>↑</x:v>
      </x:c>
      <x:c r="BE189" s="23" t="str">
        <x:v>Fantasy Football Brief ROS baseline; official NFL schedule</x:v>
      </x:c>
      <x:c r="BF189" s="23" t="str">
        <x:v>Current role and availability baseline; all adjustment factors shown numerically</x:v>
      </x:c>
      <x:c r="BG189" s="23" t="str">
        <x:v>Material injury, depth-chart, or role change</x:v>
      </x:c>
      <x:c r="BH189" s="24" t="str">
        <x:v>2026-09-23 10:35 CT</x:v>
      </x:c>
    </x:row>
    <x:row r="190">
      <x:c r="A190" s="12" t="str">
        <x:v>Tank Dell</x:v>
      </x:c>
      <x:c r="B190" s="12" t="str">
        <x:v>HOU</x:v>
      </x:c>
      <x:c r="C190" s="12" t="str">
        <x:v>WR</x:v>
      </x:c>
      <x:c r="D190" s="12" t="str">
        <x:v>IND</x:v>
      </x:c>
      <x:c r="E190" s="12" t="str">
        <x:v>Away</x:v>
      </x:c>
      <x:c r="F190" s="12" t="str">
        <x:v>2026-09-27</x:v>
      </x:c>
      <x:c r="G190" s="19" t="n">
        <x:v>0</x:v>
      </x:c>
      <x:c r="H190" s="20" t="str">
        <x:v>IR</x:v>
      </x:c>
      <x:c r="I190" s="20" t="n">
        <x:v>52</x:v>
      </x:c>
      <x:c r="J190" s="20" t="str">
        <x:v>Routes</x:v>
      </x:c>
      <x:c r="K190" s="20" t="n">
        <x:v>17.671497584541065</x:v>
      </x:c>
      <x:c r="L190" s="21" t="n">
        <x:v>0</x:v>
      </x:c>
      <x:c r="M190" s="21" t="n">
        <x:v>0</x:v>
      </x:c>
      <x:c r="N190" s="21" t="n">
        <x:v>0</x:v>
      </x:c>
      <x:c r="O190" s="21" t="n">
        <x:v>0</x:v>
      </x:c>
      <x:c r="P190" s="21" t="n">
        <x:v>0</x:v>
      </x:c>
      <x:c r="Q190" s="21" t="n">
        <x:v>0.11400966183574882</x:v>
      </x:c>
      <x:c r="R190" s="21" t="n">
        <x:v>1.1625565217391307</x:v>
      </x:c>
      <x:c r="S190" s="21" t="n">
        <x:v>0</x:v>
      </x:c>
      <x:c r="T190" s="21" t="n">
        <x:v>0</x:v>
      </x:c>
      <x:c r="U190" s="21" t="n">
        <x:v>0</x:v>
      </x:c>
      <x:c r="V190" s="21" t="n">
        <x:v>0</x:v>
      </x:c>
      <x:c r="W190" s="21" t="n">
        <x:v>3.9903381642512086</x:v>
      </x:c>
      <x:c r="X190" s="21" t="n">
        <x:v>2.565217391304348</x:v>
      </x:c>
      <x:c r="Y190" s="21" t="n">
        <x:v>33.714139130434795</x:v>
      </x:c>
      <x:c r="Z190" s="21" t="n">
        <x:v>0.20344739130434786</x:v>
      </x:c>
      <x:c r="AA190" s="21" t="n">
        <x:v>17.671497584541065</x:v>
      </x:c>
      <x:c r="AB190" s="21" t="n">
        <x:v>0.78</x:v>
      </x:c>
      <x:c r="AC190" s="21" t="n">
        <x:v>0</x:v>
      </x:c>
      <x:c r="AD190" s="21" t="n">
        <x:v>0</x:v>
      </x:c>
      <x:c r="AE190" s="21" t="n">
        <x:v>0</x:v>
      </x:c>
      <x:c r="AF190" s="21" t="n">
        <x:v>0</x:v>
      </x:c>
      <x:c r="AG190" s="21" t="n">
        <x:v>0</x:v>
      </x:c>
      <x:c r="AH190" s="21" t="n">
        <x:v>0</x:v>
      </x:c>
      <x:c r="AI190" s="21" t="n">
        <x:v>0</x:v>
      </x:c>
      <x:c r="AJ190" s="21" t="n">
        <x:v>0</x:v>
      </x:c>
      <x:c r="AK190" s="21" t="n">
        <x:v>0</x:v>
      </x:c>
      <x:c r="AL190" s="21" t="n">
        <x:v>0</x:v>
      </x:c>
      <x:c r="AM190" s="21" t="n">
        <x:v>1</x:v>
      </x:c>
      <x:c r="AN190" s="21" t="n">
        <x:v>1</x:v>
      </x:c>
      <x:c r="AO190" s="21" t="n">
        <x:v>1</x:v>
      </x:c>
      <x:c r="AP190" s="21" t="n">
        <x:v>0.99</x:v>
      </x:c>
      <x:c r="AQ190" s="21" t="n">
        <x:v>1.03</x:v>
      </x:c>
      <x:c r="AR190" s="21" t="n">
        <x:v>1</x:v>
      </x:c>
      <x:c r="AS190" s="21" t="n">
        <x:v>1</x:v>
      </x:c>
      <x:c r="AT190" s="21" t="n">
        <x:v>1</x:v>
      </x:c>
      <x:c r="AU190" s="21" t="n">
        <x:v>0</x:v>
      </x:c>
      <x:c r="AV190" s="22" t="n">
        <x:f>IF(C190="QB",N190*0.04+O190*4-P190*2+R190*0.1+S190*6,IF(OR(C190="RB",C190="WR",C190="TE"),U190*0.1+V190*6+R190*0.1+S190*6+X190*0.5+Y190*0.1+Z190*6,IF(C190="K",AC190*3+AD190*4+AE190*5+AF190,IF(C190="DST",AG190+AH190*2+AI190*6+AL190,0))))</x:f>
        <x:v>5.9909626086956544</x:v>
      </x:c>
      <x:c r="AW190" s="22" t="n">
        <x:f>(AV190+AU190)*G190</x:f>
        <x:v>0</x:v>
      </x:c>
      <x:c r="AX190" s="22" t="n">
        <x:f>MAX(0,AW190*IF(C190="QB",0.68,IF(C190="RB",0.58,IF(C190="WR",0.52,IF(C190="TE",0.50,IF(C190="K",0.55,0.40))))))</x:f>
        <x:v>0</x:v>
      </x:c>
      <x:c r="AY190" s="22" t="n">
        <x:f>AW190*IF(C190="QB",1.32,IF(C190="RB",1.45,IF(C190="WR",1.55,IF(C190="TE",1.60,IF(C190="K",1.45,1.65)))))</x:f>
        <x:v>0</x:v>
      </x:c>
      <x:c r="AZ190" s="12" t="str">
        <x:v>High</x:v>
      </x:c>
      <x:c r="BA190" s="12" t="n">
        <x:v>5</x:v>
      </x:c>
      <x:c r="BB190" s="12"/>
      <x:c r="BC190" s="12" t="str">
        <x:v>NR</x:v>
      </x:c>
      <x:c r="BD190" s="12" t="str">
        <x:v>New</x:v>
      </x:c>
      <x:c r="BE190" s="23" t="str">
        <x:v>https://www.nbcsports.com/fantasy/football/news/2026-nfl-week-3-injury-report-jaxson-dart-mcl-chargers-down-two-tes-more-49ers-injuries</x:v>
      </x:c>
      <x:c r="BF190" s="23" t="str">
        <x:v>Houston placed Dell on injured reserve; he is unavailable for Week 3. Conditional inputs remain visible for audit; expected Week 3 points are zero.</x:v>
      </x:c>
      <x:c r="BG190" s="23" t="str">
        <x:v>Official activation or new-team transaction</x:v>
      </x:c>
      <x:c r="BH190" s="24" t="str">
        <x:v>2026-09-24 1:18 PM CT</x:v>
      </x:c>
    </x:row>
    <x:row r="191">
      <x:c r="A191" s="12" t="str">
        <x:v>Chris Bell</x:v>
      </x:c>
      <x:c r="B191" s="12" t="str">
        <x:v>MIA</x:v>
      </x:c>
      <x:c r="C191" s="12" t="str">
        <x:v>WR</x:v>
      </x:c>
      <x:c r="D191" s="12" t="str">
        <x:v>KC</x:v>
      </x:c>
      <x:c r="E191" s="12" t="str">
        <x:v>Home</x:v>
      </x:c>
      <x:c r="F191" s="12" t="str">
        <x:v>2026-09-27</x:v>
      </x:c>
      <x:c r="G191" s="19" t="n">
        <x:v>1</x:v>
      </x:c>
      <x:c r="H191" s="20" t="str">
        <x:v>ACTIVE</x:v>
      </x:c>
      <x:c r="I191" s="20" t="n">
        <x:v>52</x:v>
      </x:c>
      <x:c r="J191" s="20" t="str">
        <x:v>Routes</x:v>
      </x:c>
      <x:c r="K191" s="20" t="n">
        <x:v>18.869565217391305</x:v>
      </x:c>
      <x:c r="L191" s="21" t="n">
        <x:v>0</x:v>
      </x:c>
      <x:c r="M191" s="21" t="n">
        <x:v>0</x:v>
      </x:c>
      <x:c r="N191" s="21" t="n">
        <x:v>0</x:v>
      </x:c>
      <x:c r="O191" s="21" t="n">
        <x:v>0</x:v>
      </x:c>
      <x:c r="P191" s="21" t="n">
        <x:v>0</x:v>
      </x:c>
      <x:c r="Q191" s="21" t="n">
        <x:v>0.12173913043478263</x:v>
      </x:c>
      <x:c r="R191" s="21" t="n">
        <x:v>1.1218260869565218</x:v>
      </x:c>
      <x:c r="S191" s="21" t="n">
        <x:v>0</x:v>
      </x:c>
      <x:c r="T191" s="21" t="n">
        <x:v>0</x:v>
      </x:c>
      <x:c r="U191" s="21" t="n">
        <x:v>0</x:v>
      </x:c>
      <x:c r="V191" s="21" t="n">
        <x:v>0</x:v>
      </x:c>
      <x:c r="W191" s="21" t="n">
        <x:v>4.260869565217392</x:v>
      </x:c>
      <x:c r="X191" s="21" t="n">
        <x:v>2.739130434782609</x:v>
      </x:c>
      <x:c r="Y191" s="21" t="n">
        <x:v>32.53295652173913</x:v>
      </x:c>
      <x:c r="Z191" s="21" t="n">
        <x:v>0.1963195652173913</x:v>
      </x:c>
      <x:c r="AA191" s="21" t="n">
        <x:v>18.869565217391305</x:v>
      </x:c>
      <x:c r="AB191" s="21" t="n">
        <x:v>0.78</x:v>
      </x:c>
      <x:c r="AC191" s="21" t="n">
        <x:v>0</x:v>
      </x:c>
      <x:c r="AD191" s="21" t="n">
        <x:v>0</x:v>
      </x:c>
      <x:c r="AE191" s="21" t="n">
        <x:v>0</x:v>
      </x:c>
      <x:c r="AF191" s="21" t="n">
        <x:v>0</x:v>
      </x:c>
      <x:c r="AG191" s="21" t="n">
        <x:v>0</x:v>
      </x:c>
      <x:c r="AH191" s="21" t="n">
        <x:v>0</x:v>
      </x:c>
      <x:c r="AI191" s="21" t="n">
        <x:v>0</x:v>
      </x:c>
      <x:c r="AJ191" s="21" t="n">
        <x:v>0</x:v>
      </x:c>
      <x:c r="AK191" s="21" t="n">
        <x:v>0</x:v>
      </x:c>
      <x:c r="AL191" s="21" t="n">
        <x:v>0</x:v>
      </x:c>
      <x:c r="AM191" s="21" t="n">
        <x:v>1</x:v>
      </x:c>
      <x:c r="AN191" s="21" t="n">
        <x:v>1</x:v>
      </x:c>
      <x:c r="AO191" s="21" t="n">
        <x:v>1</x:v>
      </x:c>
      <x:c r="AP191" s="21" t="n">
        <x:v>0.97</x:v>
      </x:c>
      <x:c r="AQ191" s="21" t="n">
        <x:v>0.95</x:v>
      </x:c>
      <x:c r="AR191" s="21" t="n">
        <x:v>1</x:v>
      </x:c>
      <x:c r="AS191" s="21" t="n">
        <x:v>1</x:v>
      </x:c>
      <x:c r="AT191" s="21" t="n">
        <x:v>1</x:v>
      </x:c>
      <x:c r="AU191" s="21" t="n">
        <x:v>0</x:v>
      </x:c>
      <x:c r="AV191" s="22" t="n">
        <x:f>IF(C191="QB",N191*0.04+O191*4-P191*2+R191*0.1+S191*6,IF(OR(C191="RB",C191="WR",C191="TE"),U191*0.1+V191*6+R191*0.1+S191*6+X191*0.5+Y191*0.1+Z191*6,IF(C191="K",AC191*3+AD191*4+AE191*5+AF191,IF(C191="DST",AG191+AH191*2+AI191*6+AL191,0))))</x:f>
        <x:v>5.912960869565218</x:v>
      </x:c>
      <x:c r="AW191" s="22" t="n">
        <x:f>(AV191+AU191)*G191</x:f>
        <x:v>5.912960869565218</x:v>
      </x:c>
      <x:c r="AX191" s="22" t="n">
        <x:f>MAX(0,AW191*IF(C191="QB",0.68,IF(C191="RB",0.58,IF(C191="WR",0.52,IF(C191="TE",0.50,IF(C191="K",0.55,0.40))))))</x:f>
        <x:v>3.0747396521739137</x:v>
      </x:c>
      <x:c r="AY191" s="22" t="n">
        <x:f>AW191*IF(C191="QB",1.32,IF(C191="RB",1.45,IF(C191="WR",1.55,IF(C191="TE",1.60,IF(C191="K",1.45,1.65)))))</x:f>
        <x:v>9.165089347826088</x:v>
      </x:c>
      <x:c r="AZ191" s="12" t="str">
        <x:v>High</x:v>
      </x:c>
      <x:c r="BA191" s="12" t="n">
        <x:v>5</x:v>
      </x:c>
      <x:c r="BB191" s="12" t="n">
        <x:f>COUNTIFS($C$2:$C$344,C191,$AW$2:$AW$344,"&gt;"&amp;AW191,$G$2:$G$344,"&gt;0")+COUNTIFS($C$2:C191,C191,$AW$2:AW191,AW191,$G$2:G191,"&gt;0")</x:f>
        <x:v>53</x:v>
      </x:c>
      <x:c r="BC191" s="12" t="n">
        <x:v>54</x:v>
      </x:c>
      <x:c r="BD191" s="12" t="str">
        <x:f>IF(BB191&lt;BC191,"↑",IF(BB191&gt;BC191,"↓","→"))</x:f>
        <x:v>↑</x:v>
      </x:c>
      <x:c r="BE191" s="23" t="str">
        <x:v>Fantasy Football Brief ROS baseline; official NFL schedule</x:v>
      </x:c>
      <x:c r="BF191" s="23" t="str">
        <x:v>Current role and availability baseline; all adjustment factors shown numerically</x:v>
      </x:c>
      <x:c r="BG191" s="23" t="str">
        <x:v>Material injury, depth-chart, or role change</x:v>
      </x:c>
      <x:c r="BH191" s="24" t="str">
        <x:v>2026-09-23 10:35 CT</x:v>
      </x:c>
    </x:row>
    <x:row r="192">
      <x:c r="A192" s="12" t="str">
        <x:v>Rashod Bateman</x:v>
      </x:c>
      <x:c r="B192" s="12" t="str">
        <x:v>BAL</x:v>
      </x:c>
      <x:c r="C192" s="12" t="str">
        <x:v>WR</x:v>
      </x:c>
      <x:c r="D192" s="12" t="str">
        <x:v>DAL</x:v>
      </x:c>
      <x:c r="E192" s="12" t="str">
        <x:v>Away</x:v>
      </x:c>
      <x:c r="F192" s="12" t="str">
        <x:v>2026-09-27</x:v>
      </x:c>
      <x:c r="G192" s="19" t="n">
        <x:v>1</x:v>
      </x:c>
      <x:c r="H192" s="20" t="str">
        <x:v>ACTIVE</x:v>
      </x:c>
      <x:c r="I192" s="20" t="n">
        <x:v>59.279999999999994</x:v>
      </x:c>
      <x:c r="J192" s="20" t="str">
        <x:v>Routes</x:v>
      </x:c>
      <x:c r="K192" s="20" t="n">
        <x:v>16.389565217391304</x:v>
      </x:c>
      <x:c r="L192" s="21" t="n">
        <x:v>0</x:v>
      </x:c>
      <x:c r="M192" s="21" t="n">
        <x:v>0</x:v>
      </x:c>
      <x:c r="N192" s="21" t="n">
        <x:v>0</x:v>
      </x:c>
      <x:c r="O192" s="21" t="n">
        <x:v>0</x:v>
      </x:c>
      <x:c r="P192" s="21" t="n">
        <x:v>0</x:v>
      </x:c>
      <x:c r="Q192" s="21" t="n">
        <x:v>0.1057391304347826</x:v>
      </x:c>
      <x:c r="R192" s="21" t="n">
        <x:v>1.154671304347826</x:v>
      </x:c>
      <x:c r="S192" s="21" t="n">
        <x:v>0</x:v>
      </x:c>
      <x:c r="T192" s="21" t="n">
        <x:v>0</x:v>
      </x:c>
      <x:c r="U192" s="21" t="n">
        <x:v>0</x:v>
      </x:c>
      <x:c r="V192" s="21" t="n">
        <x:v>0</x:v>
      </x:c>
      <x:c r="W192" s="21" t="n">
        <x:v>3.700869565217391</x:v>
      </x:c>
      <x:c r="X192" s="21" t="n">
        <x:v>2.3791304347826085</x:v>
      </x:c>
      <x:c r="Y192" s="21" t="n">
        <x:v>33.48546782608695</x:v>
      </x:c>
      <x:c r="Z192" s="21" t="n">
        <x:v>0.20206747826086954</x:v>
      </x:c>
      <x:c r="AA192" s="21" t="n">
        <x:v>16.389565217391304</x:v>
      </x:c>
      <x:c r="AB192" s="21" t="n">
        <x:v>0.78</x:v>
      </x:c>
      <x:c r="AC192" s="21" t="n">
        <x:v>0</x:v>
      </x:c>
      <x:c r="AD192" s="21" t="n">
        <x:v>0</x:v>
      </x:c>
      <x:c r="AE192" s="21" t="n">
        <x:v>0</x:v>
      </x:c>
      <x:c r="AF192" s="21" t="n">
        <x:v>0</x:v>
      </x:c>
      <x:c r="AG192" s="21" t="n">
        <x:v>0</x:v>
      </x:c>
      <x:c r="AH192" s="21" t="n">
        <x:v>0</x:v>
      </x:c>
      <x:c r="AI192" s="21" t="n">
        <x:v>0</x:v>
      </x:c>
      <x:c r="AJ192" s="21" t="n">
        <x:v>0</x:v>
      </x:c>
      <x:c r="AK192" s="21" t="n">
        <x:v>0</x:v>
      </x:c>
      <x:c r="AL192" s="21" t="n">
        <x:v>0</x:v>
      </x:c>
      <x:c r="AM192" s="21" t="n">
        <x:v>1</x:v>
      </x:c>
      <x:c r="AN192" s="21" t="n">
        <x:v>1</x:v>
      </x:c>
      <x:c r="AO192" s="21" t="n">
        <x:v>1.14</x:v>
      </x:c>
      <x:c r="AP192" s="21" t="n">
        <x:v>1.04</x:v>
      </x:c>
      <x:c r="AQ192" s="21" t="n">
        <x:v>1.05</x:v>
      </x:c>
      <x:c r="AR192" s="21" t="n">
        <x:v>1</x:v>
      </x:c>
      <x:c r="AS192" s="21" t="n">
        <x:v>1</x:v>
      </x:c>
      <x:c r="AT192" s="21" t="n">
        <x:v>1</x:v>
      </x:c>
      <x:c r="AU192" s="21" t="n">
        <x:v>0</x:v>
      </x:c>
      <x:c r="AV192" s="22" t="n">
        <x:f>IF(C192="QB",N192*0.04+O192*4-P192*2+R192*0.1+S192*6,IF(OR(C192="RB",C192="WR",C192="TE"),U192*0.1+V192*6+R192*0.1+S192*6+X192*0.5+Y192*0.1+Z192*6,IF(C192="K",AC192*3+AD192*4+AE192*5+AF192,IF(C192="DST",AG192+AH192*2+AI192*6+AL192,0))))</x:f>
        <x:v>5.865983999999999</x:v>
      </x:c>
      <x:c r="AW192" s="22" t="n">
        <x:f>(AV192+AU192)*G192</x:f>
        <x:v>5.865983999999999</x:v>
      </x:c>
      <x:c r="AX192" s="22" t="n">
        <x:f>MAX(0,AW192*IF(C192="QB",0.68,IF(C192="RB",0.58,IF(C192="WR",0.52,IF(C192="TE",0.50,IF(C192="K",0.55,0.40))))))</x:f>
        <x:v>3.0503116799999996</x:v>
      </x:c>
      <x:c r="AY192" s="22" t="n">
        <x:f>AW192*IF(C192="QB",1.32,IF(C192="RB",1.45,IF(C192="WR",1.55,IF(C192="TE",1.60,IF(C192="K",1.45,1.65)))))</x:f>
        <x:v>9.0922752</x:v>
      </x:c>
      <x:c r="AZ192" s="12" t="str">
        <x:v>High</x:v>
      </x:c>
      <x:c r="BA192" s="12" t="n">
        <x:v>5</x:v>
      </x:c>
      <x:c r="BB192" s="12" t="n">
        <x:f>COUNTIFS($C$2:$C$344,C192,$AW$2:$AW$344,"&gt;"&amp;AW192,$G$2:$G$344,"&gt;0")+COUNTIFS($C$2:C192,C192,$AW$2:AW192,AW192,$G$2:G192,"&gt;0")</x:f>
        <x:v>54</x:v>
      </x:c>
      <x:c r="BC192" s="12" t="n">
        <x:v>55</x:v>
      </x:c>
      <x:c r="BD192" s="12" t="str">
        <x:f>IF(BB192&lt;BC192,"↑",IF(BB192&gt;BC192,"↓","→"))</x:f>
        <x:v>↑</x:v>
      </x:c>
      <x:c r="BE192" s="23" t="str">
        <x:v>Fantasy Football Brief ROS baseline; official NFL schedule</x:v>
      </x:c>
      <x:c r="BF192" s="23" t="str">
        <x:v>Contingent route and deep-target increase if Flowers remains limited or out.</x:v>
      </x:c>
      <x:c r="BG192" s="23" t="str">
        <x:v>Flowers full practice</x:v>
      </x:c>
      <x:c r="BH192" s="24" t="str">
        <x:v>2026-09-23 10:35 CT</x:v>
      </x:c>
    </x:row>
    <x:row r="193">
      <x:c r="A193" s="12" t="str">
        <x:v>Calvin Ridley</x:v>
      </x:c>
      <x:c r="B193" s="12" t="str">
        <x:v>TEN</x:v>
      </x:c>
      <x:c r="C193" s="12" t="str">
        <x:v>WR</x:v>
      </x:c>
      <x:c r="D193" s="12" t="str">
        <x:v>NYG</x:v>
      </x:c>
      <x:c r="E193" s="12" t="str">
        <x:v>Away</x:v>
      </x:c>
      <x:c r="F193" s="12" t="str">
        <x:v>2026-09-27</x:v>
      </x:c>
      <x:c r="G193" s="19" t="n">
        <x:v>1</x:v>
      </x:c>
      <x:c r="H193" s="20" t="str">
        <x:v>ACTIVE</x:v>
      </x:c>
      <x:c r="I193" s="20" t="n">
        <x:v>52</x:v>
      </x:c>
      <x:c r="J193" s="20" t="str">
        <x:v>Routes</x:v>
      </x:c>
      <x:c r="K193" s="20" t="n">
        <x:v>17.371980676328505</x:v>
      </x:c>
      <x:c r="L193" s="21" t="n">
        <x:v>0</x:v>
      </x:c>
      <x:c r="M193" s="21" t="n">
        <x:v>0</x:v>
      </x:c>
      <x:c r="N193" s="21" t="n">
        <x:v>0</x:v>
      </x:c>
      <x:c r="O193" s="21" t="n">
        <x:v>0</x:v>
      </x:c>
      <x:c r="P193" s="21" t="n">
        <x:v>0</x:v>
      </x:c>
      <x:c r="Q193" s="21" t="n">
        <x:v>0.11207729468599036</x:v>
      </x:c>
      <x:c r="R193" s="21" t="n">
        <x:v>1.1082202898550726</x:v>
      </x:c>
      <x:c r="S193" s="21" t="n">
        <x:v>0</x:v>
      </x:c>
      <x:c r="T193" s="21" t="n">
        <x:v>0</x:v>
      </x:c>
      <x:c r="U193" s="21" t="n">
        <x:v>0</x:v>
      </x:c>
      <x:c r="V193" s="21" t="n">
        <x:v>0</x:v>
      </x:c>
      <x:c r="W193" s="21" t="n">
        <x:v>3.9227053140096624</x:v>
      </x:c>
      <x:c r="X193" s="21" t="n">
        <x:v>2.5217391304347827</x:v>
      </x:c>
      <x:c r="Y193" s="21" t="n">
        <x:v>32.1383884057971</x:v>
      </x:c>
      <x:c r="Z193" s="21" t="n">
        <x:v>0.19393855072463767</x:v>
      </x:c>
      <x:c r="AA193" s="21" t="n">
        <x:v>17.371980676328505</x:v>
      </x:c>
      <x:c r="AB193" s="21" t="n">
        <x:v>0.78</x:v>
      </x:c>
      <x:c r="AC193" s="21" t="n">
        <x:v>0</x:v>
      </x:c>
      <x:c r="AD193" s="21" t="n">
        <x:v>0</x:v>
      </x:c>
      <x:c r="AE193" s="21" t="n">
        <x:v>0</x:v>
      </x:c>
      <x:c r="AF193" s="21" t="n">
        <x:v>0</x:v>
      </x:c>
      <x:c r="AG193" s="21" t="n">
        <x:v>0</x:v>
      </x:c>
      <x:c r="AH193" s="21" t="n">
        <x:v>0</x:v>
      </x:c>
      <x:c r="AI193" s="21" t="n">
        <x:v>0</x:v>
      </x:c>
      <x:c r="AJ193" s="21" t="n">
        <x:v>0</x:v>
      </x:c>
      <x:c r="AK193" s="21" t="n">
        <x:v>0</x:v>
      </x:c>
      <x:c r="AL193" s="21" t="n">
        <x:v>0</x:v>
      </x:c>
      <x:c r="AM193" s="21" t="n">
        <x:v>1</x:v>
      </x:c>
      <x:c r="AN193" s="21" t="n">
        <x:v>1</x:v>
      </x:c>
      <x:c r="AO193" s="21" t="n">
        <x:v>1</x:v>
      </x:c>
      <x:c r="AP193" s="21" t="n">
        <x:v>0.96</x:v>
      </x:c>
      <x:c r="AQ193" s="21" t="n">
        <x:v>1.03</x:v>
      </x:c>
      <x:c r="AR193" s="21" t="n">
        <x:v>1</x:v>
      </x:c>
      <x:c r="AS193" s="21" t="n">
        <x:v>1</x:v>
      </x:c>
      <x:c r="AT193" s="21" t="n">
        <x:v>1</x:v>
      </x:c>
      <x:c r="AU193" s="21" t="n">
        <x:v>0</x:v>
      </x:c>
      <x:c r="AV193" s="22" t="n">
        <x:f>IF(C193="QB",N193*0.04+O193*4-P193*2+R193*0.1+S193*6,IF(OR(C193="RB",C193="WR",C193="TE"),U193*0.1+V193*6+R193*0.1+S193*6+X193*0.5+Y193*0.1+Z193*6,IF(C193="K",AC193*3+AD193*4+AE193*5+AF193,IF(C193="DST",AG193+AH193*2+AI193*6+AL193,0))))</x:f>
        <x:v>5.749161739130434</x:v>
      </x:c>
      <x:c r="AW193" s="22" t="n">
        <x:f>(AV193+AU193)*G193</x:f>
        <x:v>5.749161739130434</x:v>
      </x:c>
      <x:c r="AX193" s="22" t="n">
        <x:f>MAX(0,AW193*IF(C193="QB",0.68,IF(C193="RB",0.58,IF(C193="WR",0.52,IF(C193="TE",0.50,IF(C193="K",0.55,0.40))))))</x:f>
        <x:v>2.989564104347826</x:v>
      </x:c>
      <x:c r="AY193" s="22" t="n">
        <x:f>AW193*IF(C193="QB",1.32,IF(C193="RB",1.45,IF(C193="WR",1.55,IF(C193="TE",1.60,IF(C193="K",1.45,1.65)))))</x:f>
        <x:v>8.911200695652173</x:v>
      </x:c>
      <x:c r="AZ193" s="12" t="str">
        <x:v>High</x:v>
      </x:c>
      <x:c r="BA193" s="12" t="n">
        <x:v>5</x:v>
      </x:c>
      <x:c r="BB193" s="12" t="n">
        <x:f>COUNTIFS($C$2:$C$344,C193,$AW$2:$AW$344,"&gt;"&amp;AW193,$G$2:$G$344,"&gt;0")+COUNTIFS($C$2:C193,C193,$AW$2:AW193,AW193,$G$2:G193,"&gt;0")</x:f>
        <x:v>55</x:v>
      </x:c>
      <x:c r="BC193" s="12" t="n">
        <x:v>56</x:v>
      </x:c>
      <x:c r="BD193" s="12" t="str">
        <x:f>IF(BB193&lt;BC193,"↑",IF(BB193&gt;BC193,"↓","→"))</x:f>
        <x:v>↑</x:v>
      </x:c>
      <x:c r="BE193" s="23" t="str">
        <x:v>Fantasy Football Brief ROS baseline; official NFL schedule</x:v>
      </x:c>
      <x:c r="BF193" s="23" t="str">
        <x:v>Current role and availability baseline; all adjustment factors shown numerically</x:v>
      </x:c>
      <x:c r="BG193" s="23" t="str">
        <x:v>Material injury, depth-chart, or role change</x:v>
      </x:c>
      <x:c r="BH193" s="24" t="str">
        <x:v>2026-09-23 10:35 CT</x:v>
      </x:c>
    </x:row>
    <x:row r="194">
      <x:c r="A194" s="12" t="str">
        <x:v>Pat Bryant</x:v>
      </x:c>
      <x:c r="B194" s="12" t="str">
        <x:v>DEN</x:v>
      </x:c>
      <x:c r="C194" s="12" t="str">
        <x:v>WR</x:v>
      </x:c>
      <x:c r="D194" s="12" t="str">
        <x:v>LAR</x:v>
      </x:c>
      <x:c r="E194" s="12" t="str">
        <x:v>Home</x:v>
      </x:c>
      <x:c r="F194" s="12" t="str">
        <x:v>2026-09-27</x:v>
      </x:c>
      <x:c r="G194" s="19" t="n">
        <x:v>1</x:v>
      </x:c>
      <x:c r="H194" s="20" t="str">
        <x:v>ACTIVE</x:v>
      </x:c>
      <x:c r="I194" s="20" t="n">
        <x:v>52</x:v>
      </x:c>
      <x:c r="J194" s="20" t="str">
        <x:v>Routes</x:v>
      </x:c>
      <x:c r="K194" s="20" t="n">
        <x:v>17.371980676328505</x:v>
      </x:c>
      <x:c r="L194" s="21" t="n">
        <x:v>0</x:v>
      </x:c>
      <x:c r="M194" s="21" t="n">
        <x:v>0</x:v>
      </x:c>
      <x:c r="N194" s="21" t="n">
        <x:v>0</x:v>
      </x:c>
      <x:c r="O194" s="21" t="n">
        <x:v>0</x:v>
      </x:c>
      <x:c r="P194" s="21" t="n">
        <x:v>0</x:v>
      </x:c>
      <x:c r="Q194" s="21" t="n">
        <x:v>0.11207729468599036</x:v>
      </x:c>
      <x:c r="R194" s="21" t="n">
        <x:v>1.0983574879227054</x:v>
      </x:c>
      <x:c r="S194" s="21" t="n">
        <x:v>0</x:v>
      </x:c>
      <x:c r="T194" s="21" t="n">
        <x:v>0</x:v>
      </x:c>
      <x:c r="U194" s="21" t="n">
        <x:v>0</x:v>
      </x:c>
      <x:c r="V194" s="21" t="n">
        <x:v>0</x:v>
      </x:c>
      <x:c r="W194" s="21" t="n">
        <x:v>3.9227053140096624</x:v>
      </x:c>
      <x:c r="X194" s="21" t="n">
        <x:v>2.5217391304347827</x:v>
      </x:c>
      <x:c r="Y194" s="21" t="n">
        <x:v>31.852367149758457</x:v>
      </x:c>
      <x:c r="Z194" s="21" t="n">
        <x:v>0.1922125603864734</x:v>
      </x:c>
      <x:c r="AA194" s="21" t="n">
        <x:v>17.371980676328505</x:v>
      </x:c>
      <x:c r="AB194" s="21" t="n">
        <x:v>0.78</x:v>
      </x:c>
      <x:c r="AC194" s="21" t="n">
        <x:v>0</x:v>
      </x:c>
      <x:c r="AD194" s="21" t="n">
        <x:v>0</x:v>
      </x:c>
      <x:c r="AE194" s="21" t="n">
        <x:v>0</x:v>
      </x:c>
      <x:c r="AF194" s="21" t="n">
        <x:v>0</x:v>
      </x:c>
      <x:c r="AG194" s="21" t="n">
        <x:v>0</x:v>
      </x:c>
      <x:c r="AH194" s="21" t="n">
        <x:v>0</x:v>
      </x:c>
      <x:c r="AI194" s="21" t="n">
        <x:v>0</x:v>
      </x:c>
      <x:c r="AJ194" s="21" t="n">
        <x:v>0</x:v>
      </x:c>
      <x:c r="AK194" s="21" t="n">
        <x:v>0</x:v>
      </x:c>
      <x:c r="AL194" s="21" t="n">
        <x:v>0</x:v>
      </x:c>
      <x:c r="AM194" s="21" t="n">
        <x:v>1</x:v>
      </x:c>
      <x:c r="AN194" s="21" t="n">
        <x:v>1</x:v>
      </x:c>
      <x:c r="AO194" s="21" t="n">
        <x:v>1</x:v>
      </x:c>
      <x:c r="AP194" s="21" t="n">
        <x:v>1</x:v>
      </x:c>
      <x:c r="AQ194" s="21" t="n">
        <x:v>0.98</x:v>
      </x:c>
      <x:c r="AR194" s="21" t="n">
        <x:v>1</x:v>
      </x:c>
      <x:c r="AS194" s="21" t="n">
        <x:v>1</x:v>
      </x:c>
      <x:c r="AT194" s="21" t="n">
        <x:v>1</x:v>
      </x:c>
      <x:c r="AU194" s="21" t="n">
        <x:v>0</x:v>
      </x:c>
      <x:c r="AV194" s="22" t="n">
        <x:f>IF(C194="QB",N194*0.04+O194*4-P194*2+R194*0.1+S194*6,IF(OR(C194="RB",C194="WR",C194="TE"),U194*0.1+V194*6+R194*0.1+S194*6+X194*0.5+Y194*0.1+Z194*6,IF(C194="K",AC194*3+AD194*4+AE194*5+AF194,IF(C194="DST",AG194+AH194*2+AI194*6+AL194,0))))</x:f>
        <x:v>5.709217391304348</x:v>
      </x:c>
      <x:c r="AW194" s="22" t="n">
        <x:f>(AV194+AU194)*G194</x:f>
        <x:v>5.709217391304348</x:v>
      </x:c>
      <x:c r="AX194" s="22" t="n">
        <x:f>MAX(0,AW194*IF(C194="QB",0.68,IF(C194="RB",0.58,IF(C194="WR",0.52,IF(C194="TE",0.50,IF(C194="K",0.55,0.40))))))</x:f>
        <x:v>2.968793043478261</x:v>
      </x:c>
      <x:c r="AY194" s="22" t="n">
        <x:f>AW194*IF(C194="QB",1.32,IF(C194="RB",1.45,IF(C194="WR",1.55,IF(C194="TE",1.60,IF(C194="K",1.45,1.65)))))</x:f>
        <x:v>8.84928695652174</x:v>
      </x:c>
      <x:c r="AZ194" s="12" t="str">
        <x:v>High</x:v>
      </x:c>
      <x:c r="BA194" s="12" t="n">
        <x:v>5</x:v>
      </x:c>
      <x:c r="BB194" s="12" t="n">
        <x:f>COUNTIFS($C$2:$C$344,C194,$AW$2:$AW$344,"&gt;"&amp;AW194,$G$2:$G$344,"&gt;0")+COUNTIFS($C$2:C194,C194,$AW$2:AW194,AW194,$G$2:G194,"&gt;0")</x:f>
        <x:v>56</x:v>
      </x:c>
      <x:c r="BC194" s="12" t="n">
        <x:v>57</x:v>
      </x:c>
      <x:c r="BD194" s="12" t="str">
        <x:f>IF(BB194&lt;BC194,"↑",IF(BB194&gt;BC194,"↓","→"))</x:f>
        <x:v>↑</x:v>
      </x:c>
      <x:c r="BE194" s="23" t="str">
        <x:v>Fantasy Football Brief ROS baseline; official NFL schedule</x:v>
      </x:c>
      <x:c r="BF194" s="23" t="str">
        <x:v>Current role and availability baseline; all adjustment factors shown numerically</x:v>
      </x:c>
      <x:c r="BG194" s="23" t="str">
        <x:v>Material injury, depth-chart, or role change</x:v>
      </x:c>
      <x:c r="BH194" s="24" t="str">
        <x:v>2026-09-23 10:35 CT</x:v>
      </x:c>
    </x:row>
    <x:row r="195">
      <x:c r="A195" s="12" t="str">
        <x:v>Keenan Allen</x:v>
      </x:c>
      <x:c r="B195" s="12" t="str">
        <x:v>IND</x:v>
      </x:c>
      <x:c r="C195" s="12" t="str">
        <x:v>WR</x:v>
      </x:c>
      <x:c r="D195" s="12" t="str">
        <x:v>HOU</x:v>
      </x:c>
      <x:c r="E195" s="12" t="str">
        <x:v>Home</x:v>
      </x:c>
      <x:c r="F195" s="12" t="str">
        <x:v>2026-09-27</x:v>
      </x:c>
      <x:c r="G195" s="19" t="n">
        <x:v>1</x:v>
      </x:c>
      <x:c r="H195" s="20" t="str">
        <x:v>ACTIVE</x:v>
      </x:c>
      <x:c r="I195" s="20" t="n">
        <x:v>52</x:v>
      </x:c>
      <x:c r="J195" s="20" t="str">
        <x:v>Routes</x:v>
      </x:c>
      <x:c r="K195" s="20" t="n">
        <x:v>17.671497584541065</x:v>
      </x:c>
      <x:c r="L195" s="21" t="n">
        <x:v>0</x:v>
      </x:c>
      <x:c r="M195" s="21" t="n">
        <x:v>0</x:v>
      </x:c>
      <x:c r="N195" s="21" t="n">
        <x:v>0</x:v>
      </x:c>
      <x:c r="O195" s="21" t="n">
        <x:v>0</x:v>
      </x:c>
      <x:c r="P195" s="21" t="n">
        <x:v>0</x:v>
      </x:c>
      <x:c r="Q195" s="21" t="n">
        <x:v>0.11400966183574882</x:v>
      </x:c>
      <x:c r="R195" s="21" t="n">
        <x:v>1.0830917874396135</x:v>
      </x:c>
      <x:c r="S195" s="21" t="n">
        <x:v>0</x:v>
      </x:c>
      <x:c r="T195" s="21" t="n">
        <x:v>0</x:v>
      </x:c>
      <x:c r="U195" s="21" t="n">
        <x:v>0</x:v>
      </x:c>
      <x:c r="V195" s="21" t="n">
        <x:v>0</x:v>
      </x:c>
      <x:c r="W195" s="21" t="n">
        <x:v>3.9903381642512086</x:v>
      </x:c>
      <x:c r="X195" s="21" t="n">
        <x:v>2.565217391304348</x:v>
      </x:c>
      <x:c r="Y195" s="21" t="n">
        <x:v>31.4096618357488</x:v>
      </x:c>
      <x:c r="Z195" s="21" t="n">
        <x:v>0.18954106280193236</x:v>
      </x:c>
      <x:c r="AA195" s="21" t="n">
        <x:v>17.671497584541065</x:v>
      </x:c>
      <x:c r="AB195" s="21" t="n">
        <x:v>0.78</x:v>
      </x:c>
      <x:c r="AC195" s="21" t="n">
        <x:v>0</x:v>
      </x:c>
      <x:c r="AD195" s="21" t="n">
        <x:v>0</x:v>
      </x:c>
      <x:c r="AE195" s="21" t="n">
        <x:v>0</x:v>
      </x:c>
      <x:c r="AF195" s="21" t="n">
        <x:v>0</x:v>
      </x:c>
      <x:c r="AG195" s="21" t="n">
        <x:v>0</x:v>
      </x:c>
      <x:c r="AH195" s="21" t="n">
        <x:v>0</x:v>
      </x:c>
      <x:c r="AI195" s="21" t="n">
        <x:v>0</x:v>
      </x:c>
      <x:c r="AJ195" s="21" t="n">
        <x:v>0</x:v>
      </x:c>
      <x:c r="AK195" s="21" t="n">
        <x:v>0</x:v>
      </x:c>
      <x:c r="AL195" s="21" t="n">
        <x:v>0</x:v>
      </x:c>
      <x:c r="AM195" s="21" t="n">
        <x:v>1</x:v>
      </x:c>
      <x:c r="AN195" s="21" t="n">
        <x:v>1</x:v>
      </x:c>
      <x:c r="AO195" s="21" t="n">
        <x:v>1</x:v>
      </x:c>
      <x:c r="AP195" s="21" t="n">
        <x:v>1</x:v>
      </x:c>
      <x:c r="AQ195" s="21" t="n">
        <x:v>0.95</x:v>
      </x:c>
      <x:c r="AR195" s="21" t="n">
        <x:v>1</x:v>
      </x:c>
      <x:c r="AS195" s="21" t="n">
        <x:v>1</x:v>
      </x:c>
      <x:c r="AT195" s="21" t="n">
        <x:v>1</x:v>
      </x:c>
      <x:c r="AU195" s="21" t="n">
        <x:v>0</x:v>
      </x:c>
      <x:c r="AV195" s="22" t="n">
        <x:f>IF(C195="QB",N195*0.04+O195*4-P195*2+R195*0.1+S195*6,IF(OR(C195="RB",C195="WR",C195="TE"),U195*0.1+V195*6+R195*0.1+S195*6+X195*0.5+Y195*0.1+Z195*6,IF(C195="K",AC195*3+AD195*4+AE195*5+AF195,IF(C195="DST",AG195+AH195*2+AI195*6+AL195,0))))</x:f>
        <x:v>5.669130434782611</x:v>
      </x:c>
      <x:c r="AW195" s="22" t="n">
        <x:f>(AV195+AU195)*G195</x:f>
        <x:v>5.669130434782611</x:v>
      </x:c>
      <x:c r="AX195" s="22" t="n">
        <x:f>MAX(0,AW195*IF(C195="QB",0.68,IF(C195="RB",0.58,IF(C195="WR",0.52,IF(C195="TE",0.50,IF(C195="K",0.55,0.40))))))</x:f>
        <x:v>2.9479478260869576</x:v>
      </x:c>
      <x:c r="AY195" s="22" t="n">
        <x:f>AW195*IF(C195="QB",1.32,IF(C195="RB",1.45,IF(C195="WR",1.55,IF(C195="TE",1.60,IF(C195="K",1.45,1.65)))))</x:f>
        <x:v>8.787152173913046</x:v>
      </x:c>
      <x:c r="AZ195" s="12" t="str">
        <x:v>High</x:v>
      </x:c>
      <x:c r="BA195" s="12" t="n">
        <x:v>6</x:v>
      </x:c>
      <x:c r="BB195" s="12" t="n">
        <x:f>COUNTIFS($C$2:$C$344,C195,$AW$2:$AW$344,"&gt;"&amp;AW195,$G$2:$G$344,"&gt;0")+COUNTIFS($C$2:C195,C195,$AW$2:AW195,AW195,$G$2:G195,"&gt;0")</x:f>
        <x:v>57</x:v>
      </x:c>
      <x:c r="BC195" s="12" t="n">
        <x:v>58</x:v>
      </x:c>
      <x:c r="BD195" s="12" t="str">
        <x:f>IF(BB195&lt;BC195,"↑",IF(BB195&gt;BC195,"↓","→"))</x:f>
        <x:v>↑</x:v>
      </x:c>
      <x:c r="BE195" s="23" t="str">
        <x:v>Fantasy Football Brief ROS baseline; official NFL schedule</x:v>
      </x:c>
      <x:c r="BF195" s="23" t="str">
        <x:v>Current role and availability baseline; all adjustment factors shown numerically</x:v>
      </x:c>
      <x:c r="BG195" s="23" t="str">
        <x:v>Material injury, depth-chart, or role change</x:v>
      </x:c>
      <x:c r="BH195" s="24" t="str">
        <x:v>2026-09-23 10:35 CT</x:v>
      </x:c>
    </x:row>
    <x:row r="196">
      <x:c r="A196" s="12" t="str">
        <x:v>KC Concepcion</x:v>
      </x:c>
      <x:c r="B196" s="12" t="str">
        <x:v>CLE</x:v>
      </x:c>
      <x:c r="C196" s="12" t="str">
        <x:v>WR</x:v>
      </x:c>
      <x:c r="D196" s="12" t="str">
        <x:v>CAR</x:v>
      </x:c>
      <x:c r="E196" s="12" t="str">
        <x:v>Home</x:v>
      </x:c>
      <x:c r="F196" s="12" t="str">
        <x:v>2026-09-27</x:v>
      </x:c>
      <x:c r="G196" s="19" t="n">
        <x:v>1</x:v>
      </x:c>
      <x:c r="H196" s="20" t="str">
        <x:v>ACTIVE</x:v>
      </x:c>
      <x:c r="I196" s="20" t="n">
        <x:v>52</x:v>
      </x:c>
      <x:c r="J196" s="20" t="str">
        <x:v>Routes</x:v>
      </x:c>
      <x:c r="K196" s="20" t="n">
        <x:v>16.77294685990338</x:v>
      </x:c>
      <x:c r="L196" s="21" t="n">
        <x:v>0</x:v>
      </x:c>
      <x:c r="M196" s="21" t="n">
        <x:v>0</x:v>
      </x:c>
      <x:c r="N196" s="21" t="n">
        <x:v>0</x:v>
      </x:c>
      <x:c r="O196" s="21" t="n">
        <x:v>0</x:v>
      </x:c>
      <x:c r="P196" s="21" t="n">
        <x:v>0</x:v>
      </x:c>
      <x:c r="Q196" s="21" t="n">
        <x:v>0.10821256038647342</x:v>
      </x:c>
      <x:c r="R196" s="21" t="n">
        <x:v>1.091648309178744</x:v>
      </x:c>
      <x:c r="S196" s="21" t="n">
        <x:v>0</x:v>
      </x:c>
      <x:c r="T196" s="21" t="n">
        <x:v>0</x:v>
      </x:c>
      <x:c r="U196" s="21" t="n">
        <x:v>0</x:v>
      </x:c>
      <x:c r="V196" s="21" t="n">
        <x:v>0</x:v>
      </x:c>
      <x:c r="W196" s="21" t="n">
        <x:v>3.78743961352657</x:v>
      </x:c>
      <x:c r="X196" s="21" t="n">
        <x:v>2.434782608695652</x:v>
      </x:c>
      <x:c r="Y196" s="21" t="n">
        <x:v>31.65780096618357</x:v>
      </x:c>
      <x:c r="Z196" s="21" t="n">
        <x:v>0.19103845410628018</x:v>
      </x:c>
      <x:c r="AA196" s="21" t="n">
        <x:v>16.77294685990338</x:v>
      </x:c>
      <x:c r="AB196" s="21" t="n">
        <x:v>0.78</x:v>
      </x:c>
      <x:c r="AC196" s="21" t="n">
        <x:v>0</x:v>
      </x:c>
      <x:c r="AD196" s="21" t="n">
        <x:v>0</x:v>
      </x:c>
      <x:c r="AE196" s="21" t="n">
        <x:v>0</x:v>
      </x:c>
      <x:c r="AF196" s="21" t="n">
        <x:v>0</x:v>
      </x:c>
      <x:c r="AG196" s="21" t="n">
        <x:v>0</x:v>
      </x:c>
      <x:c r="AH196" s="21" t="n">
        <x:v>0</x:v>
      </x:c>
      <x:c r="AI196" s="21" t="n">
        <x:v>0</x:v>
      </x:c>
      <x:c r="AJ196" s="21" t="n">
        <x:v>0</x:v>
      </x:c>
      <x:c r="AK196" s="21" t="n">
        <x:v>0</x:v>
      </x:c>
      <x:c r="AL196" s="21" t="n">
        <x:v>0</x:v>
      </x:c>
      <x:c r="AM196" s="21" t="n">
        <x:v>1</x:v>
      </x:c>
      <x:c r="AN196" s="21" t="n">
        <x:v>1</x:v>
      </x:c>
      <x:c r="AO196" s="21" t="n">
        <x:v>1</x:v>
      </x:c>
      <x:c r="AP196" s="21" t="n">
        <x:v>0.97</x:v>
      </x:c>
      <x:c r="AQ196" s="21" t="n">
        <x:v>1.04</x:v>
      </x:c>
      <x:c r="AR196" s="21" t="n">
        <x:v>1</x:v>
      </x:c>
      <x:c r="AS196" s="21" t="n">
        <x:v>1</x:v>
      </x:c>
      <x:c r="AT196" s="21" t="n">
        <x:v>1</x:v>
      </x:c>
      <x:c r="AU196" s="21" t="n">
        <x:v>0</x:v>
      </x:c>
      <x:c r="AV196" s="22" t="n">
        <x:f>IF(C196="QB",N196*0.04+O196*4-P196*2+R196*0.1+S196*6,IF(OR(C196="RB",C196="WR",C196="TE"),U196*0.1+V196*6+R196*0.1+S196*6+X196*0.5+Y196*0.1+Z196*6,IF(C196="K",AC196*3+AD196*4+AE196*5+AF196,IF(C196="DST",AG196+AH196*2+AI196*6+AL196,0))))</x:f>
        <x:v>5.638566956521739</x:v>
      </x:c>
      <x:c r="AW196" s="22" t="n">
        <x:f>(AV196+AU196)*G196</x:f>
        <x:v>5.638566956521739</x:v>
      </x:c>
      <x:c r="AX196" s="22" t="n">
        <x:f>MAX(0,AW196*IF(C196="QB",0.68,IF(C196="RB",0.58,IF(C196="WR",0.52,IF(C196="TE",0.50,IF(C196="K",0.55,0.40))))))</x:f>
        <x:v>2.9320548173913044</x:v>
      </x:c>
      <x:c r="AY196" s="22" t="n">
        <x:f>AW196*IF(C196="QB",1.32,IF(C196="RB",1.45,IF(C196="WR",1.55,IF(C196="TE",1.60,IF(C196="K",1.45,1.65)))))</x:f>
        <x:v>8.739778782608695</x:v>
      </x:c>
      <x:c r="AZ196" s="12" t="str">
        <x:v>High</x:v>
      </x:c>
      <x:c r="BA196" s="12" t="n">
        <x:v>6</x:v>
      </x:c>
      <x:c r="BB196" s="12" t="n">
        <x:f>COUNTIFS($C$2:$C$344,C196,$AW$2:$AW$344,"&gt;"&amp;AW196,$G$2:$G$344,"&gt;0")+COUNTIFS($C$2:C196,C196,$AW$2:AW196,AW196,$G$2:G196,"&gt;0")</x:f>
        <x:v>58</x:v>
      </x:c>
      <x:c r="BC196" s="12" t="n">
        <x:v>59</x:v>
      </x:c>
      <x:c r="BD196" s="12" t="str">
        <x:f>IF(BB196&lt;BC196,"↑",IF(BB196&gt;BC196,"↓","→"))</x:f>
        <x:v>↑</x:v>
      </x:c>
      <x:c r="BE196" s="23" t="str">
        <x:v>Fantasy Football Brief ROS baseline; official NFL schedule</x:v>
      </x:c>
      <x:c r="BF196" s="23" t="str">
        <x:v>Current role and availability baseline; all adjustment factors shown numerically</x:v>
      </x:c>
      <x:c r="BG196" s="23" t="str">
        <x:v>Material injury, depth-chart, or role change</x:v>
      </x:c>
      <x:c r="BH196" s="24" t="str">
        <x:v>2026-09-23 10:35 CT</x:v>
      </x:c>
    </x:row>
    <x:row r="197">
      <x:c r="A197" s="12" t="str">
        <x:v>Malachi Fields</x:v>
      </x:c>
      <x:c r="B197" s="12" t="str">
        <x:v>NYG</x:v>
      </x:c>
      <x:c r="C197" s="12" t="str">
        <x:v>WR</x:v>
      </x:c>
      <x:c r="D197" s="12" t="str">
        <x:v>TEN</x:v>
      </x:c>
      <x:c r="E197" s="12" t="str">
        <x:v>Home</x:v>
      </x:c>
      <x:c r="F197" s="12" t="str">
        <x:v>2026-09-27</x:v>
      </x:c>
      <x:c r="G197" s="19" t="n">
        <x:v>1</x:v>
      </x:c>
      <x:c r="H197" s="20" t="str">
        <x:v>ACTIVE</x:v>
      </x:c>
      <x:c r="I197" s="20" t="n">
        <x:v>52</x:v>
      </x:c>
      <x:c r="J197" s="20" t="str">
        <x:v>Routes</x:v>
      </x:c>
      <x:c r="K197" s="20" t="n">
        <x:v>17.07246376811594</x:v>
      </x:c>
      <x:c r="L197" s="21" t="n">
        <x:v>0</x:v>
      </x:c>
      <x:c r="M197" s="21" t="n">
        <x:v>0</x:v>
      </x:c>
      <x:c r="N197" s="21" t="n">
        <x:v>0</x:v>
      </x:c>
      <x:c r="O197" s="21" t="n">
        <x:v>0</x:v>
      </x:c>
      <x:c r="P197" s="21" t="n">
        <x:v>0</x:v>
      </x:c>
      <x:c r="Q197" s="21" t="n">
        <x:v>0.1101449275362319</x:v>
      </x:c>
      <x:c r="R197" s="21" t="n">
        <x:v>1.0785391304347827</x:v>
      </x:c>
      <x:c r="S197" s="21" t="n">
        <x:v>0</x:v>
      </x:c>
      <x:c r="T197" s="21" t="n">
        <x:v>0</x:v>
      </x:c>
      <x:c r="U197" s="21" t="n">
        <x:v>0</x:v>
      </x:c>
      <x:c r="V197" s="21" t="n">
        <x:v>0</x:v>
      </x:c>
      <x:c r="W197" s="21" t="n">
        <x:v>3.855072463768116</x:v>
      </x:c>
      <x:c r="X197" s="21" t="n">
        <x:v>2.3543478260869564</x:v>
      </x:c>
      <x:c r="Y197" s="21" t="n">
        <x:v>28.149871304347826</x:v>
      </x:c>
      <x:c r="Z197" s="21" t="n">
        <x:v>0.16043269565217388</x:v>
      </x:c>
      <x:c r="AA197" s="21" t="n">
        <x:v>17.07246376811594</x:v>
      </x:c>
      <x:c r="AB197" s="21" t="n">
        <x:v>0.78</x:v>
      </x:c>
      <x:c r="AC197" s="21" t="n">
        <x:v>0</x:v>
      </x:c>
      <x:c r="AD197" s="21" t="n">
        <x:v>0</x:v>
      </x:c>
      <x:c r="AE197" s="21" t="n">
        <x:v>0</x:v>
      </x:c>
      <x:c r="AF197" s="21" t="n">
        <x:v>0</x:v>
      </x:c>
      <x:c r="AG197" s="21" t="n">
        <x:v>0</x:v>
      </x:c>
      <x:c r="AH197" s="21" t="n">
        <x:v>0</x:v>
      </x:c>
      <x:c r="AI197" s="21" t="n">
        <x:v>0</x:v>
      </x:c>
      <x:c r="AJ197" s="21" t="n">
        <x:v>0</x:v>
      </x:c>
      <x:c r="AK197" s="21" t="n">
        <x:v>0</x:v>
      </x:c>
      <x:c r="AL197" s="21" t="n">
        <x:v>0</x:v>
      </x:c>
      <x:c r="AM197" s="21" t="n">
        <x:v>1</x:v>
      </x:c>
      <x:c r="AN197" s="21" t="n">
        <x:v>1</x:v>
      </x:c>
      <x:c r="AO197" s="21" t="n">
        <x:v>1</x:v>
      </x:c>
      <x:c r="AP197" s="21" t="n">
        <x:v>0.96</x:v>
      </x:c>
      <x:c r="AQ197" s="21" t="n">
        <x:v>1.02</x:v>
      </x:c>
      <x:c r="AR197" s="21" t="n">
        <x:v>1</x:v>
      </x:c>
      <x:c r="AS197" s="21" t="n">
        <x:v>1</x:v>
      </x:c>
      <x:c r="AT197" s="21" t="n">
        <x:v>1</x:v>
      </x:c>
      <x:c r="AU197" s="21" t="n">
        <x:v>0</x:v>
      </x:c>
      <x:c r="AV197" s="22" t="n">
        <x:f>IF(C197="QB",N197*0.04+O197*4-P197*2+R197*0.1+S197*6,IF(OR(C197="RB",C197="WR",C197="TE"),U197*0.1+V197*6+R197*0.1+S197*6+X197*0.5+Y197*0.1+Z197*6,IF(C197="K",AC197*3+AD197*4+AE197*5+AF197,IF(C197="DST",AG197+AH197*2+AI197*6+AL197,0))))</x:f>
        <x:v>5.062611130434783</x:v>
      </x:c>
      <x:c r="AW197" s="22" t="n">
        <x:f>(AV197+AU197)*G197</x:f>
        <x:v>5.062611130434783</x:v>
      </x:c>
      <x:c r="AX197" s="22" t="n">
        <x:f>MAX(0,AW197*IF(C197="QB",0.68,IF(C197="RB",0.58,IF(C197="WR",0.52,IF(C197="TE",0.50,IF(C197="K",0.55,0.40))))))</x:f>
        <x:v>2.6325577878260873</x:v>
      </x:c>
      <x:c r="AY197" s="22" t="n">
        <x:f>AW197*IF(C197="QB",1.32,IF(C197="RB",1.45,IF(C197="WR",1.55,IF(C197="TE",1.60,IF(C197="K",1.45,1.65)))))</x:f>
        <x:v>7.8470472521739145</x:v>
      </x:c>
      <x:c r="AZ197" s="12" t="str">
        <x:v>Moderate</x:v>
      </x:c>
      <x:c r="BA197" s="12" t="n">
        <x:v>6</x:v>
      </x:c>
      <x:c r="BB197" s="12" t="n">
        <x:f>COUNTIFS($C$2:$C$344,C197,$AW$2:$AW$344,"&gt;"&amp;AW197,$G$2:$G$344,"&gt;0")+COUNTIFS($C$2:C197,C197,$AW$2:AW197,AW197,$G$2:G197,"&gt;0")</x:f>
        <x:v>64</x:v>
      </x:c>
      <x:c r="BC197" s="12" t="n">
        <x:v>60</x:v>
      </x:c>
      <x:c r="BD197" s="12" t="str">
        <x:f>IF(BB197&lt;BC197,"↑",IF(BB197&gt;BC197,"↓","→"))</x:f>
        <x:v>↓</x:v>
      </x:c>
      <x:c r="BE197" s="23" t="str">
        <x:v>https://www.giants.com/news/jaxson-dart-to-miss-rest-of-regular-season-jameis-winston-to-start-quarterback-injury-john-harbaugh</x:v>
      </x:c>
      <x:c r="BF197" s="23" t="str">
        <x:v>Winston efficiency revision: receiving catches x0.95,yards x0.90,TD x0.85; targets/carries retained. More uncertain accuracy and scoring reduce receiver production; unranked residual explicitly retained in team budget.</x:v>
      </x:c>
      <x:c r="BG197" s="23" t="str">
        <x:v>Next official practice report and game-status designation</x:v>
      </x:c>
      <x:c r="BH197" s="24" t="str">
        <x:v>2026-09-24 7:40 PM CT</x:v>
      </x:c>
    </x:row>
    <x:row r="198">
      <x:c r="A198" s="12" t="str">
        <x:v>Jauan Jennings</x:v>
      </x:c>
      <x:c r="B198" s="12" t="str">
        <x:v>MIN</x:v>
      </x:c>
      <x:c r="C198" s="12" t="str">
        <x:v>WR</x:v>
      </x:c>
      <x:c r="D198" s="12" t="str">
        <x:v>TB</x:v>
      </x:c>
      <x:c r="E198" s="12" t="str">
        <x:v>Away</x:v>
      </x:c>
      <x:c r="F198" s="12" t="str">
        <x:v>2026-09-27</x:v>
      </x:c>
      <x:c r="G198" s="19" t="n">
        <x:v>0.9333333333333333</x:v>
      </x:c>
      <x:c r="H198" s="20" t="str">
        <x:v>ACTIVE</x:v>
      </x:c>
      <x:c r="I198" s="20" t="n">
        <x:v>48.53333333333333</x:v>
      </x:c>
      <x:c r="J198" s="20" t="str">
        <x:v>Routes</x:v>
      </x:c>
      <x:c r="K198" s="20" t="n">
        <x:v>17.971014492753625</x:v>
      </x:c>
      <x:c r="L198" s="21" t="n">
        <x:v>0</x:v>
      </x:c>
      <x:c r="M198" s="21" t="n">
        <x:v>0</x:v>
      </x:c>
      <x:c r="N198" s="21" t="n">
        <x:v>0</x:v>
      </x:c>
      <x:c r="O198" s="21" t="n">
        <x:v>0</x:v>
      </x:c>
      <x:c r="P198" s="21" t="n">
        <x:v>0</x:v>
      </x:c>
      <x:c r="Q198" s="21" t="n">
        <x:v>0.11594202898550726</x:v>
      </x:c>
      <x:c r="R198" s="21" t="n">
        <x:v>1.159304347826087</x:v>
      </x:c>
      <x:c r="S198" s="21" t="n">
        <x:v>0</x:v>
      </x:c>
      <x:c r="T198" s="21" t="n">
        <x:v>0</x:v>
      </x:c>
      <x:c r="U198" s="21" t="n">
        <x:v>0</x:v>
      </x:c>
      <x:c r="V198" s="21" t="n">
        <x:v>0</x:v>
      </x:c>
      <x:c r="W198" s="21" t="n">
        <x:v>4.057971014492754</x:v>
      </x:c>
      <x:c r="X198" s="21" t="n">
        <x:v>2.608695652173913</x:v>
      </x:c>
      <x:c r="Y198" s="21" t="n">
        <x:v>33.61982608695652</x:v>
      </x:c>
      <x:c r="Z198" s="21" t="n">
        <x:v>0.2028782608695652</x:v>
      </x:c>
      <x:c r="AA198" s="21" t="n">
        <x:v>17.971014492753625</x:v>
      </x:c>
      <x:c r="AB198" s="21" t="n">
        <x:v>0.78</x:v>
      </x:c>
      <x:c r="AC198" s="21" t="n">
        <x:v>0</x:v>
      </x:c>
      <x:c r="AD198" s="21" t="n">
        <x:v>0</x:v>
      </x:c>
      <x:c r="AE198" s="21" t="n">
        <x:v>0</x:v>
      </x:c>
      <x:c r="AF198" s="21" t="n">
        <x:v>0</x:v>
      </x:c>
      <x:c r="AG198" s="21" t="n">
        <x:v>0</x:v>
      </x:c>
      <x:c r="AH198" s="21" t="n">
        <x:v>0</x:v>
      </x:c>
      <x:c r="AI198" s="21" t="n">
        <x:v>0</x:v>
      </x:c>
      <x:c r="AJ198" s="21" t="n">
        <x:v>0</x:v>
      </x:c>
      <x:c r="AK198" s="21" t="n">
        <x:v>0</x:v>
      </x:c>
      <x:c r="AL198" s="21" t="n">
        <x:v>0</x:v>
      </x:c>
      <x:c r="AM198" s="21" t="n">
        <x:v>0.9333333333333333</x:v>
      </x:c>
      <x:c r="AN198" s="21" t="n">
        <x:v>1</x:v>
      </x:c>
      <x:c r="AO198" s="21" t="n">
        <x:v>1</x:v>
      </x:c>
      <x:c r="AP198" s="21" t="n">
        <x:v>0.99</x:v>
      </x:c>
      <x:c r="AQ198" s="21" t="n">
        <x:v>1.01</x:v>
      </x:c>
      <x:c r="AR198" s="21" t="n">
        <x:v>1</x:v>
      </x:c>
      <x:c r="AS198" s="21" t="n">
        <x:v>1</x:v>
      </x:c>
      <x:c r="AT198" s="21" t="n">
        <x:v>1</x:v>
      </x:c>
      <x:c r="AU198" s="21" t="n">
        <x:v>0</x:v>
      </x:c>
      <x:c r="AV198" s="22" t="n">
        <x:f>IF(C198="QB",N198*0.04+O198*4-P198*2+R198*0.1+S198*6,IF(OR(C198="RB",C198="WR",C198="TE"),U198*0.1+V198*6+R198*0.1+S198*6+X198*0.5+Y198*0.1+Z198*6,IF(C198="K",AC198*3+AD198*4+AE198*5+AF198,IF(C198="DST",AG198+AH198*2+AI198*6+AL198,0))))</x:f>
        <x:v>5.999530434782608</x:v>
      </x:c>
      <x:c r="AW198" s="22" t="n">
        <x:f>(AV198+AU198)*G198</x:f>
        <x:v>5.599561739130435</x:v>
      </x:c>
      <x:c r="AX198" s="22" t="n">
        <x:f>MAX(0,AW198*IF(C198="QB",0.68,IF(C198="RB",0.58,IF(C198="WR",0.52,IF(C198="TE",0.50,IF(C198="K",0.55,0.40))))))</x:f>
        <x:v>2.911772104347826</x:v>
      </x:c>
      <x:c r="AY198" s="22" t="n">
        <x:f>AW198*IF(C198="QB",1.32,IF(C198="RB",1.45,IF(C198="WR",1.55,IF(C198="TE",1.60,IF(C198="K",1.45,1.65)))))</x:f>
        <x:v>8.679320695652175</x:v>
      </x:c>
      <x:c r="AZ198" s="12" t="str">
        <x:v>Moderate</x:v>
      </x:c>
      <x:c r="BA198" s="12" t="n">
        <x:v>6</x:v>
      </x:c>
      <x:c r="BB198" s="12" t="n">
        <x:f>COUNTIFS($C$2:$C$344,C198,$AW$2:$AW$344,"&gt;"&amp;AW198,$G$2:$G$344,"&gt;0")+COUNTIFS($C$2:C198,C198,$AW$2:AW198,AW198,$G$2:G198,"&gt;0")</x:f>
        <x:v>59</x:v>
      </x:c>
      <x:c r="BC198" s="12" t="n">
        <x:v>61</x:v>
      </x:c>
      <x:c r="BD198" s="12" t="str">
        <x:f>IF(BB198&lt;BC198,"↑",IF(BB198&gt;BC198,"↓","→"))</x:f>
        <x:v>↑</x:v>
      </x:c>
      <x:c r="BE198" s="23" t="str">
        <x:v>Fantasy Football Brief ROS baseline; official NFL schedule</x:v>
      </x:c>
      <x:c r="BF198" s="23" t="str">
        <x:v>Current role and availability baseline; all adjustment factors shown numerically</x:v>
      </x:c>
      <x:c r="BG198" s="23" t="str">
        <x:v>Material injury, depth-chart, or role change</x:v>
      </x:c>
      <x:c r="BH198" s="24" t="str">
        <x:v>2026-09-23 10:35 CT</x:v>
      </x:c>
    </x:row>
    <x:row r="199">
      <x:c r="A199" s="12" t="str">
        <x:v>Jalen Nailor</x:v>
      </x:c>
      <x:c r="B199" s="12" t="str">
        <x:v>LV</x:v>
      </x:c>
      <x:c r="C199" s="12" t="str">
        <x:v>WR</x:v>
      </x:c>
      <x:c r="D199" s="12" t="str">
        <x:v>NO</x:v>
      </x:c>
      <x:c r="E199" s="12" t="str">
        <x:v>Away</x:v>
      </x:c>
      <x:c r="F199" s="12" t="str">
        <x:v>2026-09-27</x:v>
      </x:c>
      <x:c r="G199" s="19" t="n">
        <x:v>1</x:v>
      </x:c>
      <x:c r="H199" s="20" t="str">
        <x:v>ACTIVE</x:v>
      </x:c>
      <x:c r="I199" s="20" t="n">
        <x:v>52</x:v>
      </x:c>
      <x:c r="J199" s="20" t="str">
        <x:v>Routes</x:v>
      </x:c>
      <x:c r="K199" s="20" t="n">
        <x:v>16.77294685990338</x:v>
      </x:c>
      <x:c r="L199" s="21" t="n">
        <x:v>0</x:v>
      </x:c>
      <x:c r="M199" s="21" t="n">
        <x:v>0</x:v>
      </x:c>
      <x:c r="N199" s="21" t="n">
        <x:v>0</x:v>
      </x:c>
      <x:c r="O199" s="21" t="n">
        <x:v>0</x:v>
      </x:c>
      <x:c r="P199" s="21" t="n">
        <x:v>0</x:v>
      </x:c>
      <x:c r="Q199" s="21" t="n">
        <x:v>0.10821256038647342</x:v>
      </x:c>
      <x:c r="R199" s="21" t="n">
        <x:v>1.0816927536231884</x:v>
      </x:c>
      <x:c r="S199" s="21" t="n">
        <x:v>0</x:v>
      </x:c>
      <x:c r="T199" s="21" t="n">
        <x:v>0</x:v>
      </x:c>
      <x:c r="U199" s="21" t="n">
        <x:v>0</x:v>
      </x:c>
      <x:c r="V199" s="21" t="n">
        <x:v>0</x:v>
      </x:c>
      <x:c r="W199" s="21" t="n">
        <x:v>3.78743961352657</x:v>
      </x:c>
      <x:c r="X199" s="21" t="n">
        <x:v>2.434782608695652</x:v>
      </x:c>
      <x:c r="Y199" s="21" t="n">
        <x:v>31.369089855072463</x:v>
      </x:c>
      <x:c r="Z199" s="21" t="n">
        <x:v>0.18929623188405797</x:v>
      </x:c>
      <x:c r="AA199" s="21" t="n">
        <x:v>16.77294685990338</x:v>
      </x:c>
      <x:c r="AB199" s="21" t="n">
        <x:v>0.78</x:v>
      </x:c>
      <x:c r="AC199" s="21" t="n">
        <x:v>0</x:v>
      </x:c>
      <x:c r="AD199" s="21" t="n">
        <x:v>0</x:v>
      </x:c>
      <x:c r="AE199" s="21" t="n">
        <x:v>0</x:v>
      </x:c>
      <x:c r="AF199" s="21" t="n">
        <x:v>0</x:v>
      </x:c>
      <x:c r="AG199" s="21" t="n">
        <x:v>0</x:v>
      </x:c>
      <x:c r="AH199" s="21" t="n">
        <x:v>0</x:v>
      </x:c>
      <x:c r="AI199" s="21" t="n">
        <x:v>0</x:v>
      </x:c>
      <x:c r="AJ199" s="21" t="n">
        <x:v>0</x:v>
      </x:c>
      <x:c r="AK199" s="21" t="n">
        <x:v>0</x:v>
      </x:c>
      <x:c r="AL199" s="21" t="n">
        <x:v>0</x:v>
      </x:c>
      <x:c r="AM199" s="21" t="n">
        <x:v>1</x:v>
      </x:c>
      <x:c r="AN199" s="21" t="n">
        <x:v>1</x:v>
      </x:c>
      <x:c r="AO199" s="21" t="n">
        <x:v>1</x:v>
      </x:c>
      <x:c r="AP199" s="21" t="n">
        <x:v>0.98</x:v>
      </x:c>
      <x:c r="AQ199" s="21" t="n">
        <x:v>1.02</x:v>
      </x:c>
      <x:c r="AR199" s="21" t="n">
        <x:v>1</x:v>
      </x:c>
      <x:c r="AS199" s="21" t="n">
        <x:v>1</x:v>
      </x:c>
      <x:c r="AT199" s="21" t="n">
        <x:v>1</x:v>
      </x:c>
      <x:c r="AU199" s="21" t="n">
        <x:v>0</x:v>
      </x:c>
      <x:c r="AV199" s="22" t="n">
        <x:f>IF(C199="QB",N199*0.04+O199*4-P199*2+R199*0.1+S199*6,IF(OR(C199="RB",C199="WR",C199="TE"),U199*0.1+V199*6+R199*0.1+S199*6+X199*0.5+Y199*0.1+Z199*6,IF(C199="K",AC199*3+AD199*4+AE199*5+AF199,IF(C199="DST",AG199+AH199*2+AI199*6+AL199,0))))</x:f>
        <x:v>5.59824695652174</x:v>
      </x:c>
      <x:c r="AW199" s="22" t="n">
        <x:f>(AV199+AU199)*G199</x:f>
        <x:v>5.59824695652174</x:v>
      </x:c>
      <x:c r="AX199" s="22" t="n">
        <x:f>MAX(0,AW199*IF(C199="QB",0.68,IF(C199="RB",0.58,IF(C199="WR",0.52,IF(C199="TE",0.50,IF(C199="K",0.55,0.40))))))</x:f>
        <x:v>2.9110884173913045</x:v>
      </x:c>
      <x:c r="AY199" s="22" t="n">
        <x:f>AW199*IF(C199="QB",1.32,IF(C199="RB",1.45,IF(C199="WR",1.55,IF(C199="TE",1.60,IF(C199="K",1.45,1.65)))))</x:f>
        <x:v>8.677282782608696</x:v>
      </x:c>
      <x:c r="AZ199" s="12" t="str">
        <x:v>High</x:v>
      </x:c>
      <x:c r="BA199" s="12" t="n">
        <x:v>6</x:v>
      </x:c>
      <x:c r="BB199" s="12" t="n">
        <x:f>COUNTIFS($C$2:$C$344,C199,$AW$2:$AW$344,"&gt;"&amp;AW199,$G$2:$G$344,"&gt;0")+COUNTIFS($C$2:C199,C199,$AW$2:AW199,AW199,$G$2:G199,"&gt;0")</x:f>
        <x:v>60</x:v>
      </x:c>
      <x:c r="BC199" s="12" t="n">
        <x:v>62</x:v>
      </x:c>
      <x:c r="BD199" s="12" t="str">
        <x:f>IF(BB199&lt;BC199,"↑",IF(BB199&gt;BC199,"↓","→"))</x:f>
        <x:v>↑</x:v>
      </x:c>
      <x:c r="BE199" s="23" t="str">
        <x:v>Fantasy Football Brief ROS baseline; official NFL schedule</x:v>
      </x:c>
      <x:c r="BF199" s="23" t="str">
        <x:v>Current role and availability baseline; all adjustment factors shown numerically</x:v>
      </x:c>
      <x:c r="BG199" s="23" t="str">
        <x:v>Material injury, depth-chart, or role change</x:v>
      </x:c>
      <x:c r="BH199" s="24" t="str">
        <x:v>2026-09-23 10:35 CT</x:v>
      </x:c>
    </x:row>
    <x:row r="200">
      <x:c r="A200" s="12" t="str">
        <x:v>Cyrus Allen</x:v>
      </x:c>
      <x:c r="B200" s="12" t="str">
        <x:v>KC</x:v>
      </x:c>
      <x:c r="C200" s="12" t="str">
        <x:v>WR</x:v>
      </x:c>
      <x:c r="D200" s="12" t="str">
        <x:v>MIA</x:v>
      </x:c>
      <x:c r="E200" s="12" t="str">
        <x:v>Away</x:v>
      </x:c>
      <x:c r="F200" s="12" t="str">
        <x:v>2026-09-27</x:v>
      </x:c>
      <x:c r="G200" s="19" t="n">
        <x:v>1</x:v>
      </x:c>
      <x:c r="H200" s="20" t="str">
        <x:v>ACTIVE</x:v>
      </x:c>
      <x:c r="I200" s="20" t="n">
        <x:v>52</x:v>
      </x:c>
      <x:c r="J200" s="20" t="str">
        <x:v>Routes</x:v>
      </x:c>
      <x:c r="K200" s="20" t="n">
        <x:v>15.275362318840578</x:v>
      </x:c>
      <x:c r="L200" s="21" t="n">
        <x:v>0</x:v>
      </x:c>
      <x:c r="M200" s="21" t="n">
        <x:v>0</x:v>
      </x:c>
      <x:c r="N200" s="21" t="n">
        <x:v>0</x:v>
      </x:c>
      <x:c r="O200" s="21" t="n">
        <x:v>0</x:v>
      </x:c>
      <x:c r="P200" s="21" t="n">
        <x:v>0</x:v>
      </x:c>
      <x:c r="Q200" s="21" t="n">
        <x:v>0.09855072463768116</x:v>
      </x:c>
      <x:c r="R200" s="21" t="n">
        <x:v>1.0455246376811593</x:v>
      </x:c>
      <x:c r="S200" s="21" t="n">
        <x:v>0</x:v>
      </x:c>
      <x:c r="T200" s="21" t="n">
        <x:v>0</x:v>
      </x:c>
      <x:c r="U200" s="21" t="n">
        <x:v>0</x:v>
      </x:c>
      <x:c r="V200" s="21" t="n">
        <x:v>0</x:v>
      </x:c>
      <x:c r="W200" s="21" t="n">
        <x:v>3.4492753623188404</x:v>
      </x:c>
      <x:c r="X200" s="21" t="n">
        <x:v>2.217391304347826</x:v>
      </x:c>
      <x:c r="Y200" s="21" t="n">
        <x:v>30.32021449275362</x:v>
      </x:c>
      <x:c r="Z200" s="21" t="n">
        <x:v>0.18296681159420286</x:v>
      </x:c>
      <x:c r="AA200" s="21" t="n">
        <x:v>15.275362318840578</x:v>
      </x:c>
      <x:c r="AB200" s="21" t="n">
        <x:v>0.78</x:v>
      </x:c>
      <x:c r="AC200" s="21" t="n">
        <x:v>0</x:v>
      </x:c>
      <x:c r="AD200" s="21" t="n">
        <x:v>0</x:v>
      </x:c>
      <x:c r="AE200" s="21" t="n">
        <x:v>0</x:v>
      </x:c>
      <x:c r="AF200" s="21" t="n">
        <x:v>0</x:v>
      </x:c>
      <x:c r="AG200" s="21" t="n">
        <x:v>0</x:v>
      </x:c>
      <x:c r="AH200" s="21" t="n">
        <x:v>0</x:v>
      </x:c>
      <x:c r="AI200" s="21" t="n">
        <x:v>0</x:v>
      </x:c>
      <x:c r="AJ200" s="21" t="n">
        <x:v>0</x:v>
      </x:c>
      <x:c r="AK200" s="21" t="n">
        <x:v>0</x:v>
      </x:c>
      <x:c r="AL200" s="21" t="n">
        <x:v>0</x:v>
      </x:c>
      <x:c r="AM200" s="21" t="n">
        <x:v>1</x:v>
      </x:c>
      <x:c r="AN200" s="21" t="n">
        <x:v>1</x:v>
      </x:c>
      <x:c r="AO200" s="21" t="n">
        <x:v>1</x:v>
      </x:c>
      <x:c r="AP200" s="21" t="n">
        <x:v>1.03</x:v>
      </x:c>
      <x:c r="AQ200" s="21" t="n">
        <x:v>1.03</x:v>
      </x:c>
      <x:c r="AR200" s="21" t="n">
        <x:v>1</x:v>
      </x:c>
      <x:c r="AS200" s="21" t="n">
        <x:v>1</x:v>
      </x:c>
      <x:c r="AT200" s="21" t="n">
        <x:v>1</x:v>
      </x:c>
      <x:c r="AU200" s="21" t="n">
        <x:v>0</x:v>
      </x:c>
      <x:c r="AV200" s="22" t="n">
        <x:f>IF(C200="QB",N200*0.04+O200*4-P200*2+R200*0.1+S200*6,IF(OR(C200="RB",C200="WR",C200="TE"),U200*0.1+V200*6+R200*0.1+S200*6+X200*0.5+Y200*0.1+Z200*6,IF(C200="K",AC200*3+AD200*4+AE200*5+AF200,IF(C200="DST",AG200+AH200*2+AI200*6+AL200,0))))</x:f>
        <x:v>5.343070434782609</x:v>
      </x:c>
      <x:c r="AW200" s="22" t="n">
        <x:f>(AV200+AU200)*G200</x:f>
        <x:v>5.343070434782609</x:v>
      </x:c>
      <x:c r="AX200" s="22" t="n">
        <x:f>MAX(0,AW200*IF(C200="QB",0.68,IF(C200="RB",0.58,IF(C200="WR",0.52,IF(C200="TE",0.50,IF(C200="K",0.55,0.40))))))</x:f>
        <x:v>2.778396626086957</x:v>
      </x:c>
      <x:c r="AY200" s="22" t="n">
        <x:f>AW200*IF(C200="QB",1.32,IF(C200="RB",1.45,IF(C200="WR",1.55,IF(C200="TE",1.60,IF(C200="K",1.45,1.65)))))</x:f>
        <x:v>8.281759173913045</x:v>
      </x:c>
      <x:c r="AZ200" s="12" t="str">
        <x:v>High</x:v>
      </x:c>
      <x:c r="BA200" s="12" t="n">
        <x:v>6</x:v>
      </x:c>
      <x:c r="BB200" s="12" t="n">
        <x:f>COUNTIFS($C$2:$C$344,C200,$AW$2:$AW$344,"&gt;"&amp;AW200,$G$2:$G$344,"&gt;0")+COUNTIFS($C$2:C200,C200,$AW$2:AW200,AW200,$G$2:G200,"&gt;0")</x:f>
        <x:v>61</x:v>
      </x:c>
      <x:c r="BC200" s="12" t="n">
        <x:v>63</x:v>
      </x:c>
      <x:c r="BD200" s="12" t="str">
        <x:f>IF(BB200&lt;BC200,"↑",IF(BB200&gt;BC200,"↓","→"))</x:f>
        <x:v>↑</x:v>
      </x:c>
      <x:c r="BE200" s="23" t="str">
        <x:v>Fantasy Football Brief ROS baseline; official NFL schedule</x:v>
      </x:c>
      <x:c r="BF200" s="23" t="str">
        <x:v>Current role and availability baseline; all adjustment factors shown numerically</x:v>
      </x:c>
      <x:c r="BG200" s="23" t="str">
        <x:v>Material injury, depth-chart, or role change</x:v>
      </x:c>
      <x:c r="BH200" s="24" t="str">
        <x:v>2026-09-23 10:35 CT</x:v>
      </x:c>
    </x:row>
    <x:row r="201">
      <x:c r="A201" s="12" t="str">
        <x:v>Makai Lemon</x:v>
      </x:c>
      <x:c r="B201" s="12" t="str">
        <x:v>PHI</x:v>
      </x:c>
      <x:c r="C201" s="12" t="str">
        <x:v>WR</x:v>
      </x:c>
      <x:c r="D201" s="12" t="str">
        <x:v>CHI</x:v>
      </x:c>
      <x:c r="E201" s="12" t="str">
        <x:v>Away</x:v>
      </x:c>
      <x:c r="F201" s="12" t="str">
        <x:v>2026-09-28</x:v>
      </x:c>
      <x:c r="G201" s="19" t="n">
        <x:v>1</x:v>
      </x:c>
      <x:c r="H201" s="20" t="str">
        <x:v>ACTIVE</x:v>
      </x:c>
      <x:c r="I201" s="20" t="n">
        <x:v>52</x:v>
      </x:c>
      <x:c r="J201" s="20" t="str">
        <x:v>Routes</x:v>
      </x:c>
      <x:c r="K201" s="20" t="n">
        <x:v>15.275362318840578</x:v>
      </x:c>
      <x:c r="L201" s="21" t="n">
        <x:v>0</x:v>
      </x:c>
      <x:c r="M201" s="21" t="n">
        <x:v>0</x:v>
      </x:c>
      <x:c r="N201" s="21" t="n">
        <x:v>0</x:v>
      </x:c>
      <x:c r="O201" s="21" t="n">
        <x:v>0</x:v>
      </x:c>
      <x:c r="P201" s="21" t="n">
        <x:v>0</x:v>
      </x:c>
      <x:c r="Q201" s="21" t="n">
        <x:v>0.09855072463768116</x:v>
      </x:c>
      <x:c r="R201" s="21" t="n">
        <x:v>1.0353739130434783</x:v>
      </x:c>
      <x:c r="S201" s="21" t="n">
        <x:v>0</x:v>
      </x:c>
      <x:c r="T201" s="21" t="n">
        <x:v>0</x:v>
      </x:c>
      <x:c r="U201" s="21" t="n">
        <x:v>0</x:v>
      </x:c>
      <x:c r="V201" s="21" t="n">
        <x:v>0</x:v>
      </x:c>
      <x:c r="W201" s="21" t="n">
        <x:v>3.4492753623188404</x:v>
      </x:c>
      <x:c r="X201" s="21" t="n">
        <x:v>2.217391304347826</x:v>
      </x:c>
      <x:c r="Y201" s="21" t="n">
        <x:v>30.025843478260867</x:v>
      </x:c>
      <x:c r="Z201" s="21" t="n">
        <x:v>0.18119043478260866</x:v>
      </x:c>
      <x:c r="AA201" s="21" t="n">
        <x:v>15.275362318840578</x:v>
      </x:c>
      <x:c r="AB201" s="21" t="n">
        <x:v>0.78</x:v>
      </x:c>
      <x:c r="AC201" s="21" t="n">
        <x:v>0</x:v>
      </x:c>
      <x:c r="AD201" s="21" t="n">
        <x:v>0</x:v>
      </x:c>
      <x:c r="AE201" s="21" t="n">
        <x:v>0</x:v>
      </x:c>
      <x:c r="AF201" s="21" t="n">
        <x:v>0</x:v>
      </x:c>
      <x:c r="AG201" s="21" t="n">
        <x:v>0</x:v>
      </x:c>
      <x:c r="AH201" s="21" t="n">
        <x:v>0</x:v>
      </x:c>
      <x:c r="AI201" s="21" t="n">
        <x:v>0</x:v>
      </x:c>
      <x:c r="AJ201" s="21" t="n">
        <x:v>0</x:v>
      </x:c>
      <x:c r="AK201" s="21" t="n">
        <x:v>0</x:v>
      </x:c>
      <x:c r="AL201" s="21" t="n">
        <x:v>0</x:v>
      </x:c>
      <x:c r="AM201" s="21" t="n">
        <x:v>1</x:v>
      </x:c>
      <x:c r="AN201" s="21" t="n">
        <x:v>1</x:v>
      </x:c>
      <x:c r="AO201" s="21" t="n">
        <x:v>1</x:v>
      </x:c>
      <x:c r="AP201" s="21" t="n">
        <x:v>1.03</x:v>
      </x:c>
      <x:c r="AQ201" s="21" t="n">
        <x:v>1.02</x:v>
      </x:c>
      <x:c r="AR201" s="21" t="n">
        <x:v>1</x:v>
      </x:c>
      <x:c r="AS201" s="21" t="n">
        <x:v>1</x:v>
      </x:c>
      <x:c r="AT201" s="21" t="n">
        <x:v>1</x:v>
      </x:c>
      <x:c r="AU201" s="21" t="n">
        <x:v>0</x:v>
      </x:c>
      <x:c r="AV201" s="22" t="n">
        <x:f>IF(C201="QB",N201*0.04+O201*4-P201*2+R201*0.1+S201*6,IF(OR(C201="RB",C201="WR",C201="TE"),U201*0.1+V201*6+R201*0.1+S201*6+X201*0.5+Y201*0.1+Z201*6,IF(C201="K",AC201*3+AD201*4+AE201*5+AF201,IF(C201="DST",AG201+AH201*2+AI201*6+AL201,0))))</x:f>
        <x:v>5.301959999999999</x:v>
      </x:c>
      <x:c r="AW201" s="22" t="n">
        <x:f>(AV201+AU201)*G201</x:f>
        <x:v>5.301959999999999</x:v>
      </x:c>
      <x:c r="AX201" s="22" t="n">
        <x:f>MAX(0,AW201*IF(C201="QB",0.68,IF(C201="RB",0.58,IF(C201="WR",0.52,IF(C201="TE",0.50,IF(C201="K",0.55,0.40))))))</x:f>
        <x:v>2.7570192</x:v>
      </x:c>
      <x:c r="AY201" s="22" t="n">
        <x:f>AW201*IF(C201="QB",1.32,IF(C201="RB",1.45,IF(C201="WR",1.55,IF(C201="TE",1.60,IF(C201="K",1.45,1.65)))))</x:f>
        <x:v>8.218038</x:v>
      </x:c>
      <x:c r="AZ201" s="12" t="str">
        <x:v>High</x:v>
      </x:c>
      <x:c r="BA201" s="12" t="n">
        <x:v>6</x:v>
      </x:c>
      <x:c r="BB201" s="12" t="n">
        <x:f>COUNTIFS($C$2:$C$344,C201,$AW$2:$AW$344,"&gt;"&amp;AW201,$G$2:$G$344,"&gt;0")+COUNTIFS($C$2:C201,C201,$AW$2:AW201,AW201,$G$2:G201,"&gt;0")</x:f>
        <x:v>62</x:v>
      </x:c>
      <x:c r="BC201" s="12" t="n">
        <x:v>64</x:v>
      </x:c>
      <x:c r="BD201" s="12" t="str">
        <x:f>IF(BB201&lt;BC201,"↑",IF(BB201&gt;BC201,"↓","→"))</x:f>
        <x:v>↑</x:v>
      </x:c>
      <x:c r="BE201" s="23" t="str">
        <x:v>Fantasy Football Brief ROS baseline; official NFL schedule</x:v>
      </x:c>
      <x:c r="BF201" s="23" t="str">
        <x:v>Current role and availability baseline; all adjustment factors shown numerically</x:v>
      </x:c>
      <x:c r="BG201" s="23" t="str">
        <x:v>Material injury, depth-chart, or role change</x:v>
      </x:c>
      <x:c r="BH201" s="24" t="str">
        <x:v>2026-09-23 10:35 CT</x:v>
      </x:c>
    </x:row>
    <x:row r="202">
      <x:c r="A202" s="12" t="str">
        <x:v>Jalen Coker</x:v>
      </x:c>
      <x:c r="B202" s="12" t="str">
        <x:v>CAR</x:v>
      </x:c>
      <x:c r="C202" s="12" t="str">
        <x:v>WR</x:v>
      </x:c>
      <x:c r="D202" s="12" t="str">
        <x:v>CLE</x:v>
      </x:c>
      <x:c r="E202" s="12" t="str">
        <x:v>Away</x:v>
      </x:c>
      <x:c r="F202" s="12" t="str">
        <x:v>2026-09-27</x:v>
      </x:c>
      <x:c r="G202" s="19" t="n">
        <x:v>1</x:v>
      </x:c>
      <x:c r="H202" s="20" t="str">
        <x:v>ACTIVE</x:v>
      </x:c>
      <x:c r="I202" s="20" t="n">
        <x:v>52</x:v>
      </x:c>
      <x:c r="J202" s="20" t="str">
        <x:v>Routes</x:v>
      </x:c>
      <x:c r="K202" s="20" t="n">
        <x:v>16.47342995169082</x:v>
      </x:c>
      <x:c r="L202" s="21" t="n">
        <x:v>0</x:v>
      </x:c>
      <x:c r="M202" s="21" t="n">
        <x:v>0</x:v>
      </x:c>
      <x:c r="N202" s="21" t="n">
        <x:v>0</x:v>
      </x:c>
      <x:c r="O202" s="21" t="n">
        <x:v>0</x:v>
      </x:c>
      <x:c r="P202" s="21" t="n">
        <x:v>0</x:v>
      </x:c>
      <x:c r="Q202" s="21" t="n">
        <x:v>0.10628019323671499</x:v>
      </x:c>
      <x:c r="R202" s="21" t="n">
        <x:v>0.9894685990338165</x:v>
      </x:c>
      <x:c r="S202" s="21" t="n">
        <x:v>0</x:v>
      </x:c>
      <x:c r="T202" s="21" t="n">
        <x:v>0</x:v>
      </x:c>
      <x:c r="U202" s="21" t="n">
        <x:v>0</x:v>
      </x:c>
      <x:c r="V202" s="21" t="n">
        <x:v>0</x:v>
      </x:c>
      <x:c r="W202" s="21" t="n">
        <x:v>3.7198067632850242</x:v>
      </x:c>
      <x:c r="X202" s="21" t="n">
        <x:v>2.391304347826087</x:v>
      </x:c>
      <x:c r="Y202" s="21" t="n">
        <x:v>28.694589371980676</x:v>
      </x:c>
      <x:c r="Z202" s="21" t="n">
        <x:v>0.17315700483091787</x:v>
      </x:c>
      <x:c r="AA202" s="21" t="n">
        <x:v>16.47342995169082</x:v>
      </x:c>
      <x:c r="AB202" s="21" t="n">
        <x:v>0.78</x:v>
      </x:c>
      <x:c r="AC202" s="21" t="n">
        <x:v>0</x:v>
      </x:c>
      <x:c r="AD202" s="21" t="n">
        <x:v>0</x:v>
      </x:c>
      <x:c r="AE202" s="21" t="n">
        <x:v>0</x:v>
      </x:c>
      <x:c r="AF202" s="21" t="n">
        <x:v>0</x:v>
      </x:c>
      <x:c r="AG202" s="21" t="n">
        <x:v>0</x:v>
      </x:c>
      <x:c r="AH202" s="21" t="n">
        <x:v>0</x:v>
      </x:c>
      <x:c r="AI202" s="21" t="n">
        <x:v>0</x:v>
      </x:c>
      <x:c r="AJ202" s="21" t="n">
        <x:v>0</x:v>
      </x:c>
      <x:c r="AK202" s="21" t="n">
        <x:v>0</x:v>
      </x:c>
      <x:c r="AL202" s="21" t="n">
        <x:v>0</x:v>
      </x:c>
      <x:c r="AM202" s="21" t="n">
        <x:v>1</x:v>
      </x:c>
      <x:c r="AN202" s="21" t="n">
        <x:v>1</x:v>
      </x:c>
      <x:c r="AO202" s="21" t="n">
        <x:v>1</x:v>
      </x:c>
      <x:c r="AP202" s="21" t="n">
        <x:v>0.98</x:v>
      </x:c>
      <x:c r="AQ202" s="21" t="n">
        <x:v>0.95</x:v>
      </x:c>
      <x:c r="AR202" s="21" t="n">
        <x:v>1</x:v>
      </x:c>
      <x:c r="AS202" s="21" t="n">
        <x:v>1</x:v>
      </x:c>
      <x:c r="AT202" s="21" t="n">
        <x:v>1</x:v>
      </x:c>
      <x:c r="AU202" s="21" t="n">
        <x:v>0</x:v>
      </x:c>
      <x:c r="AV202" s="22" t="n">
        <x:f>IF(C202="QB",N202*0.04+O202*4-P202*2+R202*0.1+S202*6,IF(OR(C202="RB",C202="WR",C202="TE"),U202*0.1+V202*6+R202*0.1+S202*6+X202*0.5+Y202*0.1+Z202*6,IF(C202="K",AC202*3+AD202*4+AE202*5+AF202,IF(C202="DST",AG202+AH202*2+AI202*6+AL202,0))))</x:f>
        <x:v>5.203</x:v>
      </x:c>
      <x:c r="AW202" s="22" t="n">
        <x:f>(AV202+AU202)*G202</x:f>
        <x:v>5.203</x:v>
      </x:c>
      <x:c r="AX202" s="22" t="n">
        <x:f>MAX(0,AW202*IF(C202="QB",0.68,IF(C202="RB",0.58,IF(C202="WR",0.52,IF(C202="TE",0.50,IF(C202="K",0.55,0.40))))))</x:f>
        <x:v>2.70556</x:v>
      </x:c>
      <x:c r="AY202" s="22" t="n">
        <x:f>AW202*IF(C202="QB",1.32,IF(C202="RB",1.45,IF(C202="WR",1.55,IF(C202="TE",1.60,IF(C202="K",1.45,1.65)))))</x:f>
        <x:v>8.06465</x:v>
      </x:c>
      <x:c r="AZ202" s="12" t="str">
        <x:v>High</x:v>
      </x:c>
      <x:c r="BA202" s="12" t="n">
        <x:v>6</x:v>
      </x:c>
      <x:c r="BB202" s="12" t="n">
        <x:f>COUNTIFS($C$2:$C$344,C202,$AW$2:$AW$344,"&gt;"&amp;AW202,$G$2:$G$344,"&gt;0")+COUNTIFS($C$2:C202,C202,$AW$2:AW202,AW202,$G$2:G202,"&gt;0")</x:f>
        <x:v>63</x:v>
      </x:c>
      <x:c r="BC202" s="12" t="n">
        <x:v>65</x:v>
      </x:c>
      <x:c r="BD202" s="12" t="str">
        <x:f>IF(BB202&lt;BC202,"↑",IF(BB202&gt;BC202,"↓","→"))</x:f>
        <x:v>↑</x:v>
      </x:c>
      <x:c r="BE202" s="23" t="str">
        <x:v>Fantasy Football Brief ROS baseline; official NFL schedule</x:v>
      </x:c>
      <x:c r="BF202" s="23" t="str">
        <x:v>Current role and availability baseline; all adjustment factors shown numerically</x:v>
      </x:c>
      <x:c r="BG202" s="23" t="str">
        <x:v>Material injury, depth-chart, or role change</x:v>
      </x:c>
      <x:c r="BH202" s="24" t="str">
        <x:v>2026-09-23 10:35 CT</x:v>
      </x:c>
    </x:row>
    <x:row r="203">
      <x:c r="A203" s="12" t="str">
        <x:v>Nico Collins</x:v>
      </x:c>
      <x:c r="B203" s="12" t="str">
        <x:v>HOU</x:v>
      </x:c>
      <x:c r="C203" s="12" t="str">
        <x:v>WR</x:v>
      </x:c>
      <x:c r="D203" s="12" t="str">
        <x:v>IND</x:v>
      </x:c>
      <x:c r="E203" s="12" t="str">
        <x:v>Away</x:v>
      </x:c>
      <x:c r="F203" s="12" t="str">
        <x:v>2026-09-27</x:v>
      </x:c>
      <x:c r="G203" s="19" t="n">
        <x:v>0.35</x:v>
      </x:c>
      <x:c r="H203" s="20" t="str">
        <x:v>QUESTIONABLE</x:v>
      </x:c>
      <x:c r="I203" s="20" t="n">
        <x:v>46.592</x:v>
      </x:c>
      <x:c r="J203" s="20" t="str">
        <x:v>Routes</x:v>
      </x:c>
      <x:c r="K203" s="20" t="n">
        <x:v>39.68</x:v>
      </x:c>
      <x:c r="L203" s="21" t="n">
        <x:v>0</x:v>
      </x:c>
      <x:c r="M203" s="21" t="n">
        <x:v>0</x:v>
      </x:c>
      <x:c r="N203" s="21" t="n">
        <x:v>0</x:v>
      </x:c>
      <x:c r="O203" s="21" t="n">
        <x:v>0</x:v>
      </x:c>
      <x:c r="P203" s="21" t="n">
        <x:v>0</x:v>
      </x:c>
      <x:c r="Q203" s="21" t="n">
        <x:v>0.25600000000000006</x:v>
      </x:c>
      <x:c r="R203" s="21" t="n">
        <x:v>2.6104320000000003</x:v>
      </x:c>
      <x:c r="S203" s="21" t="n">
        <x:v>0</x:v>
      </x:c>
      <x:c r="T203" s="21" t="n">
        <x:v>0</x:v>
      </x:c>
      <x:c r="U203" s="21" t="n">
        <x:v>0</x:v>
      </x:c>
      <x:c r="V203" s="21" t="n">
        <x:v>0</x:v>
      </x:c>
      <x:c r="W203" s="21" t="n">
        <x:v>8.96</x:v>
      </x:c>
      <x:c r="X203" s="21" t="n">
        <x:v>5.760000000000001</x:v>
      </x:c>
      <x:c r="Y203" s="21" t="n">
        <x:v>75.70252800000002</x:v>
      </x:c>
      <x:c r="Z203" s="21" t="n">
        <x:v>0.45682560000000005</x:v>
      </x:c>
      <x:c r="AA203" s="21" t="n">
        <x:v>39.68</x:v>
      </x:c>
      <x:c r="AB203" s="21" t="n">
        <x:v>0.78</x:v>
      </x:c>
      <x:c r="AC203" s="21" t="n">
        <x:v>0</x:v>
      </x:c>
      <x:c r="AD203" s="21" t="n">
        <x:v>0</x:v>
      </x:c>
      <x:c r="AE203" s="21" t="n">
        <x:v>0</x:v>
      </x:c>
      <x:c r="AF203" s="21" t="n">
        <x:v>0</x:v>
      </x:c>
      <x:c r="AG203" s="21" t="n">
        <x:v>0</x:v>
      </x:c>
      <x:c r="AH203" s="21" t="n">
        <x:v>0</x:v>
      </x:c>
      <x:c r="AI203" s="21" t="n">
        <x:v>0</x:v>
      </x:c>
      <x:c r="AJ203" s="21" t="n">
        <x:v>0</x:v>
      </x:c>
      <x:c r="AK203" s="21" t="n">
        <x:v>0</x:v>
      </x:c>
      <x:c r="AL203" s="21" t="n">
        <x:v>0</x:v>
      </x:c>
      <x:c r="AM203" s="21" t="n">
        <x:v>0.35</x:v>
      </x:c>
      <x:c r="AN203" s="21" t="n">
        <x:v>0.96</x:v>
      </x:c>
      <x:c r="AO203" s="21" t="n">
        <x:v>1</x:v>
      </x:c>
      <x:c r="AP203" s="21" t="n">
        <x:v>0.99</x:v>
      </x:c>
      <x:c r="AQ203" s="21" t="n">
        <x:v>1.03</x:v>
      </x:c>
      <x:c r="AR203" s="21" t="n">
        <x:v>1</x:v>
      </x:c>
      <x:c r="AS203" s="21" t="n">
        <x:v>1</x:v>
      </x:c>
      <x:c r="AT203" s="21" t="n">
        <x:v>1</x:v>
      </x:c>
      <x:c r="AU203" s="21" t="n">
        <x:v>0</x:v>
      </x:c>
      <x:c r="AV203" s="22" t="n">
        <x:f>IF(C203="QB",N203*0.04+O203*4-P203*2+R203*0.1+S203*6,IF(OR(C203="RB",C203="WR",C203="TE"),U203*0.1+V203*6+R203*0.1+S203*6+X203*0.5+Y203*0.1+Z203*6,IF(C203="K",AC203*3+AD203*4+AE203*5+AF203,IF(C203="DST",AG203+AH203*2+AI203*6+AL203,0))))</x:f>
        <x:v>13.452249600000002</x:v>
      </x:c>
      <x:c r="AW203" s="22" t="n">
        <x:f>(AV203+AU203)*G203</x:f>
        <x:v>4.70828736</x:v>
      </x:c>
      <x:c r="AX203" s="22" t="n">
        <x:f>MAX(0,AW203*IF(C203="QB",0.68,IF(C203="RB",0.58,IF(C203="WR",0.52,IF(C203="TE",0.50,IF(C203="K",0.55,0.40))))))</x:f>
        <x:v>2.4483094272</x:v>
      </x:c>
      <x:c r="AY203" s="22" t="n">
        <x:f>AW203*IF(C203="QB",1.32,IF(C203="RB",1.45,IF(C203="WR",1.55,IF(C203="TE",1.60,IF(C203="K",1.45,1.65)))))</x:f>
        <x:v>7.297845408</x:v>
      </x:c>
      <x:c r="AZ203" s="12" t="str">
        <x:v>Low</x:v>
      </x:c>
      <x:c r="BA203" s="12" t="n">
        <x:v>6</x:v>
      </x:c>
      <x:c r="BB203" s="12" t="n">
        <x:f>COUNTIFS($C$2:$C$344,C203,$AW$2:$AW$344,"&gt;"&amp;AW203,$G$2:$G$344,"&gt;0")+COUNTIFS($C$2:C203,C203,$AW$2:AW203,AW203,$G$2:G203,"&gt;0")</x:f>
        <x:v>65</x:v>
      </x:c>
      <x:c r="BC203" s="12" t="n">
        <x:v>66</x:v>
      </x:c>
      <x:c r="BD203" s="12" t="str">
        <x:f>IF(BB203&lt;BC203,"↑",IF(BB203&gt;BC203,"↓","→"))</x:f>
        <x:v>↑</x:v>
      </x:c>
      <x:c r="BE203" s="23" t="str">
        <x:v>Houston Chronicle/team context: Week 2 hamstring absence; multi-game risk</x:v>
      </x:c>
      <x:c r="BF203" s="23" t="str">
        <x:v>Low early-week play probability after a second hamstring issue in three seasons.</x:v>
      </x:c>
      <x:c r="BG203" s="23" t="str">
        <x:v>Wednesday-Friday practice participation</x:v>
      </x:c>
      <x:c r="BH203" s="24" t="str">
        <x:v>2026-09-23 10:35 CT</x:v>
      </x:c>
    </x:row>
    <x:row r="204">
      <x:c r="A204" s="12" t="str">
        <x:v>Mack Hollins</x:v>
      </x:c>
      <x:c r="B204" s="12" t="str">
        <x:v>NE</x:v>
      </x:c>
      <x:c r="C204" s="12" t="str">
        <x:v>WR</x:v>
      </x:c>
      <x:c r="D204" s="12" t="str">
        <x:v>JAX</x:v>
      </x:c>
      <x:c r="E204" s="12" t="str">
        <x:v>Away</x:v>
      </x:c>
      <x:c r="F204" s="12" t="str">
        <x:v>2026-09-27</x:v>
      </x:c>
      <x:c r="G204" s="19" t="n">
        <x:v>1</x:v>
      </x:c>
      <x:c r="H204" s="20" t="str">
        <x:v>ACTIVE</x:v>
      </x:c>
      <x:c r="I204" s="20" t="n">
        <x:v>52</x:v>
      </x:c>
      <x:c r="J204" s="20" t="str">
        <x:v>Routes</x:v>
      </x:c>
      <x:c r="K204" s="20" t="n">
        <x:v>14.077294685990339</x:v>
      </x:c>
      <x:c r="L204" s="21" t="n">
        <x:v>0</x:v>
      </x:c>
      <x:c r="M204" s="21" t="n">
        <x:v>0</x:v>
      </x:c>
      <x:c r="N204" s="21" t="n">
        <x:v>0</x:v>
      </x:c>
      <x:c r="O204" s="21" t="n">
        <x:v>0</x:v>
      </x:c>
      <x:c r="P204" s="21" t="n">
        <x:v>0</x:v>
      </x:c>
      <x:c r="Q204" s="21" t="n">
        <x:v>0.09082125603864735</x:v>
      </x:c>
      <x:c r="R204" s="21" t="n">
        <x:v>0.907849275362319</x:v>
      </x:c>
      <x:c r="S204" s="21" t="n">
        <x:v>0</x:v>
      </x:c>
      <x:c r="T204" s="21" t="n">
        <x:v>0</x:v>
      </x:c>
      <x:c r="U204" s="21" t="n">
        <x:v>0</x:v>
      </x:c>
      <x:c r="V204" s="21" t="n">
        <x:v>0</x:v>
      </x:c>
      <x:c r="W204" s="21" t="n">
        <x:v>3.178743961352657</x:v>
      </x:c>
      <x:c r="X204" s="21" t="n">
        <x:v>2.0434782608695654</x:v>
      </x:c>
      <x:c r="Y204" s="21" t="n">
        <x:v>26.327628985507246</x:v>
      </x:c>
      <x:c r="Z204" s="21" t="n">
        <x:v>0.1588736231884058</x:v>
      </x:c>
      <x:c r="AA204" s="21" t="n">
        <x:v>14.077294685990339</x:v>
      </x:c>
      <x:c r="AB204" s="21" t="n">
        <x:v>0.78</x:v>
      </x:c>
      <x:c r="AC204" s="21" t="n">
        <x:v>0</x:v>
      </x:c>
      <x:c r="AD204" s="21" t="n">
        <x:v>0</x:v>
      </x:c>
      <x:c r="AE204" s="21" t="n">
        <x:v>0</x:v>
      </x:c>
      <x:c r="AF204" s="21" t="n">
        <x:v>0</x:v>
      </x:c>
      <x:c r="AG204" s="21" t="n">
        <x:v>0</x:v>
      </x:c>
      <x:c r="AH204" s="21" t="n">
        <x:v>0</x:v>
      </x:c>
      <x:c r="AI204" s="21" t="n">
        <x:v>0</x:v>
      </x:c>
      <x:c r="AJ204" s="21" t="n">
        <x:v>0</x:v>
      </x:c>
      <x:c r="AK204" s="21" t="n">
        <x:v>0</x:v>
      </x:c>
      <x:c r="AL204" s="21" t="n">
        <x:v>0</x:v>
      </x:c>
      <x:c r="AM204" s="21" t="n">
        <x:v>1</x:v>
      </x:c>
      <x:c r="AN204" s="21" t="n">
        <x:v>1</x:v>
      </x:c>
      <x:c r="AO204" s="21" t="n">
        <x:v>1</x:v>
      </x:c>
      <x:c r="AP204" s="21" t="n">
        <x:v>0.98</x:v>
      </x:c>
      <x:c r="AQ204" s="21" t="n">
        <x:v>1.02</x:v>
      </x:c>
      <x:c r="AR204" s="21" t="n">
        <x:v>1</x:v>
      </x:c>
      <x:c r="AS204" s="21" t="n">
        <x:v>1</x:v>
      </x:c>
      <x:c r="AT204" s="21" t="n">
        <x:v>1</x:v>
      </x:c>
      <x:c r="AU204" s="21" t="n">
        <x:v>0</x:v>
      </x:c>
      <x:c r="AV204" s="22" t="n">
        <x:f>IF(C204="QB",N204*0.04+O204*4-P204*2+R204*0.1+S204*6,IF(OR(C204="RB",C204="WR",C204="TE"),U204*0.1+V204*6+R204*0.1+S204*6+X204*0.5+Y204*0.1+Z204*6,IF(C204="K",AC204*3+AD204*4+AE204*5+AF204,IF(C204="DST",AG204+AH204*2+AI204*6+AL204,0))))</x:f>
        <x:v>4.698528695652175</x:v>
      </x:c>
      <x:c r="AW204" s="22" t="n">
        <x:f>(AV204+AU204)*G204</x:f>
        <x:v>4.698528695652175</x:v>
      </x:c>
      <x:c r="AX204" s="22" t="n">
        <x:f>MAX(0,AW204*IF(C204="QB",0.68,IF(C204="RB",0.58,IF(C204="WR",0.52,IF(C204="TE",0.50,IF(C204="K",0.55,0.40))))))</x:f>
        <x:v>2.4432349217391307</x:v>
      </x:c>
      <x:c r="AY204" s="22" t="n">
        <x:f>AW204*IF(C204="QB",1.32,IF(C204="RB",1.45,IF(C204="WR",1.55,IF(C204="TE",1.60,IF(C204="K",1.45,1.65)))))</x:f>
        <x:v>7.282719478260871</x:v>
      </x:c>
      <x:c r="AZ204" s="12" t="str">
        <x:v>High</x:v>
      </x:c>
      <x:c r="BA204" s="12" t="n">
        <x:v>6</x:v>
      </x:c>
      <x:c r="BB204" s="12" t="n">
        <x:f>COUNTIFS($C$2:$C$344,C204,$AW$2:$AW$344,"&gt;"&amp;AW204,$G$2:$G$344,"&gt;0")+COUNTIFS($C$2:C204,C204,$AW$2:AW204,AW204,$G$2:G204,"&gt;0")</x:f>
        <x:v>66</x:v>
      </x:c>
      <x:c r="BC204" s="12" t="n">
        <x:v>67</x:v>
      </x:c>
      <x:c r="BD204" s="12" t="str">
        <x:f>IF(BB204&lt;BC204,"↑",IF(BB204&gt;BC204,"↓","→"))</x:f>
        <x:v>↑</x:v>
      </x:c>
      <x:c r="BE204" s="23" t="str">
        <x:v>Fantasy Football Brief ROS baseline; official NFL schedule</x:v>
      </x:c>
      <x:c r="BF204" s="23" t="str">
        <x:v>Current role and availability baseline; all adjustment factors shown numerically</x:v>
      </x:c>
      <x:c r="BG204" s="23" t="str">
        <x:v>Material injury, depth-chart, or role change</x:v>
      </x:c>
      <x:c r="BH204" s="24" t="str">
        <x:v>2026-09-23 10:35 CT</x:v>
      </x:c>
    </x:row>
    <x:row r="205">
      <x:c r="A205" s="12" t="str">
        <x:v>Romeo Doubs</x:v>
      </x:c>
      <x:c r="B205" s="12" t="str">
        <x:v>NE</x:v>
      </x:c>
      <x:c r="C205" s="12" t="str">
        <x:v>WR</x:v>
      </x:c>
      <x:c r="D205" s="12" t="str">
        <x:v>JAX</x:v>
      </x:c>
      <x:c r="E205" s="12" t="str">
        <x:v>Away</x:v>
      </x:c>
      <x:c r="F205" s="12" t="str">
        <x:v>2026-09-27</x:v>
      </x:c>
      <x:c r="G205" s="19" t="n">
        <x:v>1</x:v>
      </x:c>
      <x:c r="H205" s="20" t="str">
        <x:v>ACTIVE</x:v>
      </x:c>
      <x:c r="I205" s="20" t="n">
        <x:v>52</x:v>
      </x:c>
      <x:c r="J205" s="20" t="str">
        <x:v>Routes</x:v>
      </x:c>
      <x:c r="K205" s="20" t="n">
        <x:v>14.077294685990339</x:v>
      </x:c>
      <x:c r="L205" s="21" t="n">
        <x:v>0</x:v>
      </x:c>
      <x:c r="M205" s="21" t="n">
        <x:v>0</x:v>
      </x:c>
      <x:c r="N205" s="21" t="n">
        <x:v>0</x:v>
      </x:c>
      <x:c r="O205" s="21" t="n">
        <x:v>0</x:v>
      </x:c>
      <x:c r="P205" s="21" t="n">
        <x:v>0</x:v>
      </x:c>
      <x:c r="Q205" s="21" t="n">
        <x:v>0.09082125603864735</x:v>
      </x:c>
      <x:c r="R205" s="21" t="n">
        <x:v>0.907849275362319</x:v>
      </x:c>
      <x:c r="S205" s="21" t="n">
        <x:v>0</x:v>
      </x:c>
      <x:c r="T205" s="21" t="n">
        <x:v>0</x:v>
      </x:c>
      <x:c r="U205" s="21" t="n">
        <x:v>0</x:v>
      </x:c>
      <x:c r="V205" s="21" t="n">
        <x:v>0</x:v>
      </x:c>
      <x:c r="W205" s="21" t="n">
        <x:v>3.178743961352657</x:v>
      </x:c>
      <x:c r="X205" s="21" t="n">
        <x:v>2.0434782608695654</x:v>
      </x:c>
      <x:c r="Y205" s="21" t="n">
        <x:v>26.327628985507246</x:v>
      </x:c>
      <x:c r="Z205" s="21" t="n">
        <x:v>0.1588736231884058</x:v>
      </x:c>
      <x:c r="AA205" s="21" t="n">
        <x:v>14.077294685990339</x:v>
      </x:c>
      <x:c r="AB205" s="21" t="n">
        <x:v>0.78</x:v>
      </x:c>
      <x:c r="AC205" s="21" t="n">
        <x:v>0</x:v>
      </x:c>
      <x:c r="AD205" s="21" t="n">
        <x:v>0</x:v>
      </x:c>
      <x:c r="AE205" s="21" t="n">
        <x:v>0</x:v>
      </x:c>
      <x:c r="AF205" s="21" t="n">
        <x:v>0</x:v>
      </x:c>
      <x:c r="AG205" s="21" t="n">
        <x:v>0</x:v>
      </x:c>
      <x:c r="AH205" s="21" t="n">
        <x:v>0</x:v>
      </x:c>
      <x:c r="AI205" s="21" t="n">
        <x:v>0</x:v>
      </x:c>
      <x:c r="AJ205" s="21" t="n">
        <x:v>0</x:v>
      </x:c>
      <x:c r="AK205" s="21" t="n">
        <x:v>0</x:v>
      </x:c>
      <x:c r="AL205" s="21" t="n">
        <x:v>0</x:v>
      </x:c>
      <x:c r="AM205" s="21" t="n">
        <x:v>1</x:v>
      </x:c>
      <x:c r="AN205" s="21" t="n">
        <x:v>1</x:v>
      </x:c>
      <x:c r="AO205" s="21" t="n">
        <x:v>1</x:v>
      </x:c>
      <x:c r="AP205" s="21" t="n">
        <x:v>0.98</x:v>
      </x:c>
      <x:c r="AQ205" s="21" t="n">
        <x:v>1.02</x:v>
      </x:c>
      <x:c r="AR205" s="21" t="n">
        <x:v>1</x:v>
      </x:c>
      <x:c r="AS205" s="21" t="n">
        <x:v>1</x:v>
      </x:c>
      <x:c r="AT205" s="21" t="n">
        <x:v>1</x:v>
      </x:c>
      <x:c r="AU205" s="21" t="n">
        <x:v>0</x:v>
      </x:c>
      <x:c r="AV205" s="22" t="n">
        <x:f>IF(C205="QB",N205*0.04+O205*4-P205*2+R205*0.1+S205*6,IF(OR(C205="RB",C205="WR",C205="TE"),U205*0.1+V205*6+R205*0.1+S205*6+X205*0.5+Y205*0.1+Z205*6,IF(C205="K",AC205*3+AD205*4+AE205*5+AF205,IF(C205="DST",AG205+AH205*2+AI205*6+AL205,0))))</x:f>
        <x:v>4.698528695652175</x:v>
      </x:c>
      <x:c r="AW205" s="22" t="n">
        <x:f>(AV205+AU205)*G205</x:f>
        <x:v>4.698528695652175</x:v>
      </x:c>
      <x:c r="AX205" s="22" t="n">
        <x:f>MAX(0,AW205*IF(C205="QB",0.68,IF(C205="RB",0.58,IF(C205="WR",0.52,IF(C205="TE",0.50,IF(C205="K",0.55,0.40))))))</x:f>
        <x:v>2.4432349217391307</x:v>
      </x:c>
      <x:c r="AY205" s="22" t="n">
        <x:f>AW205*IF(C205="QB",1.32,IF(C205="RB",1.45,IF(C205="WR",1.55,IF(C205="TE",1.60,IF(C205="K",1.45,1.65)))))</x:f>
        <x:v>7.282719478260871</x:v>
      </x:c>
      <x:c r="AZ205" s="12" t="str">
        <x:v>High</x:v>
      </x:c>
      <x:c r="BA205" s="12" t="n">
        <x:v>6</x:v>
      </x:c>
      <x:c r="BB205" s="12" t="n">
        <x:f>COUNTIFS($C$2:$C$344,C205,$AW$2:$AW$344,"&gt;"&amp;AW205,$G$2:$G$344,"&gt;0")+COUNTIFS($C$2:C205,C205,$AW$2:AW205,AW205,$G$2:G205,"&gt;0")</x:f>
        <x:v>67</x:v>
      </x:c>
      <x:c r="BC205" s="12" t="n">
        <x:v>68</x:v>
      </x:c>
      <x:c r="BD205" s="12" t="str">
        <x:f>IF(BB205&lt;BC205,"↑",IF(BB205&gt;BC205,"↓","→"))</x:f>
        <x:v>↑</x:v>
      </x:c>
      <x:c r="BE205" s="23" t="str">
        <x:v>Fantasy Football Brief ROS baseline; official NFL schedule</x:v>
      </x:c>
      <x:c r="BF205" s="23" t="str">
        <x:v>Current role and availability baseline; all adjustment factors shown numerically</x:v>
      </x:c>
      <x:c r="BG205" s="23" t="str">
        <x:v>Material injury, depth-chart, or role change</x:v>
      </x:c>
      <x:c r="BH205" s="24" t="str">
        <x:v>2026-09-23 10:35 CT</x:v>
      </x:c>
    </x:row>
    <x:row r="206">
      <x:c r="A206" s="12" t="str">
        <x:v>Jalen McMillan</x:v>
      </x:c>
      <x:c r="B206" s="12" t="str">
        <x:v>TB</x:v>
      </x:c>
      <x:c r="C206" s="12" t="str">
        <x:v>WR</x:v>
      </x:c>
      <x:c r="D206" s="12" t="str">
        <x:v>MIN</x:v>
      </x:c>
      <x:c r="E206" s="12" t="str">
        <x:v>Home</x:v>
      </x:c>
      <x:c r="F206" s="12" t="str">
        <x:v>2026-09-27</x:v>
      </x:c>
      <x:c r="G206" s="19" t="n">
        <x:v>1</x:v>
      </x:c>
      <x:c r="H206" s="20" t="str">
        <x:v>ACTIVE</x:v>
      </x:c>
      <x:c r="I206" s="20" t="n">
        <x:v>52</x:v>
      </x:c>
      <x:c r="J206" s="20" t="str">
        <x:v>Routes</x:v>
      </x:c>
      <x:c r="K206" s="20" t="n">
        <x:v>14.077294685990339</x:v>
      </x:c>
      <x:c r="L206" s="21" t="n">
        <x:v>0</x:v>
      </x:c>
      <x:c r="M206" s="21" t="n">
        <x:v>0</x:v>
      </x:c>
      <x:c r="N206" s="21" t="n">
        <x:v>0</x:v>
      </x:c>
      <x:c r="O206" s="21" t="n">
        <x:v>0</x:v>
      </x:c>
      <x:c r="P206" s="21" t="n">
        <x:v>0</x:v>
      </x:c>
      <x:c r="Q206" s="21" t="n">
        <x:v>0.09082125603864735</x:v>
      </x:c>
      <x:c r="R206" s="21" t="n">
        <x:v>0.8989487922705315</x:v>
      </x:c>
      <x:c r="S206" s="21" t="n">
        <x:v>0</x:v>
      </x:c>
      <x:c r="T206" s="21" t="n">
        <x:v>0</x:v>
      </x:c>
      <x:c r="U206" s="21" t="n">
        <x:v>0</x:v>
      </x:c>
      <x:c r="V206" s="21" t="n">
        <x:v>0</x:v>
      </x:c>
      <x:c r="W206" s="21" t="n">
        <x:v>3.178743961352657</x:v>
      </x:c>
      <x:c r="X206" s="21" t="n">
        <x:v>2.0434782608695654</x:v>
      </x:c>
      <x:c r="Y206" s="21" t="n">
        <x:v>26.06951497584541</x:v>
      </x:c>
      <x:c r="Z206" s="21" t="n">
        <x:v>0.157316038647343</x:v>
      </x:c>
      <x:c r="AA206" s="21" t="n">
        <x:v>14.077294685990339</x:v>
      </x:c>
      <x:c r="AB206" s="21" t="n">
        <x:v>0.78</x:v>
      </x:c>
      <x:c r="AC206" s="21" t="n">
        <x:v>0</x:v>
      </x:c>
      <x:c r="AD206" s="21" t="n">
        <x:v>0</x:v>
      </x:c>
      <x:c r="AE206" s="21" t="n">
        <x:v>0</x:v>
      </x:c>
      <x:c r="AF206" s="21" t="n">
        <x:v>0</x:v>
      </x:c>
      <x:c r="AG206" s="21" t="n">
        <x:v>0</x:v>
      </x:c>
      <x:c r="AH206" s="21" t="n">
        <x:v>0</x:v>
      </x:c>
      <x:c r="AI206" s="21" t="n">
        <x:v>0</x:v>
      </x:c>
      <x:c r="AJ206" s="21" t="n">
        <x:v>0</x:v>
      </x:c>
      <x:c r="AK206" s="21" t="n">
        <x:v>0</x:v>
      </x:c>
      <x:c r="AL206" s="21" t="n">
        <x:v>0</x:v>
      </x:c>
      <x:c r="AM206" s="21" t="n">
        <x:v>1</x:v>
      </x:c>
      <x:c r="AN206" s="21" t="n">
        <x:v>1</x:v>
      </x:c>
      <x:c r="AO206" s="21" t="n">
        <x:v>1</x:v>
      </x:c>
      <x:c r="AP206" s="21" t="n">
        <x:v>1.01</x:v>
      </x:c>
      <x:c r="AQ206" s="21" t="n">
        <x:v>0.98</x:v>
      </x:c>
      <x:c r="AR206" s="21" t="n">
        <x:v>1</x:v>
      </x:c>
      <x:c r="AS206" s="21" t="n">
        <x:v>1</x:v>
      </x:c>
      <x:c r="AT206" s="21" t="n">
        <x:v>1</x:v>
      </x:c>
      <x:c r="AU206" s="21" t="n">
        <x:v>0</x:v>
      </x:c>
      <x:c r="AV206" s="22" t="n">
        <x:f>IF(C206="QB",N206*0.04+O206*4-P206*2+R206*0.1+S206*6,IF(OR(C206="RB",C206="WR",C206="TE"),U206*0.1+V206*6+R206*0.1+S206*6+X206*0.5+Y206*0.1+Z206*6,IF(C206="K",AC206*3+AD206*4+AE206*5+AF206,IF(C206="DST",AG206+AH206*2+AI206*6+AL206,0))))</x:f>
        <x:v>4.662481739130435</x:v>
      </x:c>
      <x:c r="AW206" s="22" t="n">
        <x:f>(AV206+AU206)*G206</x:f>
        <x:v>4.662481739130435</x:v>
      </x:c>
      <x:c r="AX206" s="22" t="n">
        <x:f>MAX(0,AW206*IF(C206="QB",0.68,IF(C206="RB",0.58,IF(C206="WR",0.52,IF(C206="TE",0.50,IF(C206="K",0.55,0.40))))))</x:f>
        <x:v>2.424490504347826</x:v>
      </x:c>
      <x:c r="AY206" s="22" t="n">
        <x:f>AW206*IF(C206="QB",1.32,IF(C206="RB",1.45,IF(C206="WR",1.55,IF(C206="TE",1.60,IF(C206="K",1.45,1.65)))))</x:f>
        <x:v>7.226846695652174</x:v>
      </x:c>
      <x:c r="AZ206" s="12" t="str">
        <x:v>High</x:v>
      </x:c>
      <x:c r="BA206" s="12" t="n">
        <x:v>6</x:v>
      </x:c>
      <x:c r="BB206" s="12" t="n">
        <x:f>COUNTIFS($C$2:$C$344,C206,$AW$2:$AW$344,"&gt;"&amp;AW206,$G$2:$G$344,"&gt;0")+COUNTIFS($C$2:C206,C206,$AW$2:AW206,AW206,$G$2:G206,"&gt;0")</x:f>
        <x:v>68</x:v>
      </x:c>
      <x:c r="BC206" s="12" t="n">
        <x:v>69</x:v>
      </x:c>
      <x:c r="BD206" s="12" t="str">
        <x:f>IF(BB206&lt;BC206,"↑",IF(BB206&gt;BC206,"↓","→"))</x:f>
        <x:v>↑</x:v>
      </x:c>
      <x:c r="BE206" s="23" t="str">
        <x:v>Fantasy Football Brief ROS baseline; official NFL schedule</x:v>
      </x:c>
      <x:c r="BF206" s="23" t="str">
        <x:v>Current role and availability baseline; all adjustment factors shown numerically</x:v>
      </x:c>
      <x:c r="BG206" s="23" t="str">
        <x:v>Material injury, depth-chart, or role change</x:v>
      </x:c>
      <x:c r="BH206" s="24" t="str">
        <x:v>2026-09-23 10:35 CT</x:v>
      </x:c>
    </x:row>
    <x:row r="207">
      <x:c r="A207" s="12" t="str">
        <x:v>Zachariah Branch</x:v>
      </x:c>
      <x:c r="B207" s="12" t="str">
        <x:v>ATL</x:v>
      </x:c>
      <x:c r="C207" s="12" t="str">
        <x:v>WR</x:v>
      </x:c>
      <x:c r="D207" s="12" t="str">
        <x:v>GB</x:v>
      </x:c>
      <x:c r="E207" s="12" t="str">
        <x:v>Away</x:v>
      </x:c>
      <x:c r="F207" s="12" t="str">
        <x:v>2026-09-24</x:v>
      </x:c>
      <x:c r="G207" s="19" t="n">
        <x:v>1</x:v>
      </x:c>
      <x:c r="H207" s="20" t="str">
        <x:v>ACTIVE</x:v>
      </x:c>
      <x:c r="I207" s="20" t="n">
        <x:v>52</x:v>
      </x:c>
      <x:c r="J207" s="20" t="str">
        <x:v>Routes</x:v>
      </x:c>
      <x:c r="K207" s="20" t="n">
        <x:v>14.376811594202898</x:v>
      </x:c>
      <x:c r="L207" s="21" t="n">
        <x:v>0</x:v>
      </x:c>
      <x:c r="M207" s="21" t="n">
        <x:v>0</x:v>
      </x:c>
      <x:c r="N207" s="21" t="n">
        <x:v>0</x:v>
      </x:c>
      <x:c r="O207" s="21" t="n">
        <x:v>0</x:v>
      </x:c>
      <x:c r="P207" s="21" t="n">
        <x:v>0</x:v>
      </x:c>
      <x:c r="Q207" s="21" t="n">
        <x:v>0.0927536231884058</x:v>
      </x:c>
      <x:c r="R207" s="21" t="n">
        <x:v>0.8637217391304347</x:v>
      </x:c>
      <x:c r="S207" s="21" t="n">
        <x:v>0</x:v>
      </x:c>
      <x:c r="T207" s="21" t="n">
        <x:v>0</x:v>
      </x:c>
      <x:c r="U207" s="21" t="n">
        <x:v>0</x:v>
      </x:c>
      <x:c r="V207" s="21" t="n">
        <x:v>0</x:v>
      </x:c>
      <x:c r="W207" s="21" t="n">
        <x:v>3.246376811594203</x:v>
      </x:c>
      <x:c r="X207" s="21" t="n">
        <x:v>2.0869565217391304</x:v>
      </x:c>
      <x:c r="Y207" s="21" t="n">
        <x:v>25.047930434782604</x:v>
      </x:c>
      <x:c r="Z207" s="21" t="n">
        <x:v>0.15115130434782606</x:v>
      </x:c>
      <x:c r="AA207" s="21" t="n">
        <x:v>14.376811594202898</x:v>
      </x:c>
      <x:c r="AB207" s="21" t="n">
        <x:v>0.78</x:v>
      </x:c>
      <x:c r="AC207" s="21" t="n">
        <x:v>0</x:v>
      </x:c>
      <x:c r="AD207" s="21" t="n">
        <x:v>0</x:v>
      </x:c>
      <x:c r="AE207" s="21" t="n">
        <x:v>0</x:v>
      </x:c>
      <x:c r="AF207" s="21" t="n">
        <x:v>0</x:v>
      </x:c>
      <x:c r="AG207" s="21" t="n">
        <x:v>0</x:v>
      </x:c>
      <x:c r="AH207" s="21" t="n">
        <x:v>0</x:v>
      </x:c>
      <x:c r="AI207" s="21" t="n">
        <x:v>0</x:v>
      </x:c>
      <x:c r="AJ207" s="21" t="n">
        <x:v>0</x:v>
      </x:c>
      <x:c r="AK207" s="21" t="n">
        <x:v>0</x:v>
      </x:c>
      <x:c r="AL207" s="21" t="n">
        <x:v>0</x:v>
      </x:c>
      <x:c r="AM207" s="21" t="n">
        <x:v>1</x:v>
      </x:c>
      <x:c r="AN207" s="21" t="n">
        <x:v>1</x:v>
      </x:c>
      <x:c r="AO207" s="21" t="n">
        <x:v>1</x:v>
      </x:c>
      <x:c r="AP207" s="21" t="n">
        <x:v>0.97</x:v>
      </x:c>
      <x:c r="AQ207" s="21" t="n">
        <x:v>0.96</x:v>
      </x:c>
      <x:c r="AR207" s="21" t="n">
        <x:v>1</x:v>
      </x:c>
      <x:c r="AS207" s="21" t="n">
        <x:v>1</x:v>
      </x:c>
      <x:c r="AT207" s="21" t="n">
        <x:v>1</x:v>
      </x:c>
      <x:c r="AU207" s="21" t="n">
        <x:v>0</x:v>
      </x:c>
      <x:c r="AV207" s="22" t="n">
        <x:f>IF(C207="QB",N207*0.04+O207*4-P207*2+R207*0.1+S207*6,IF(OR(C207="RB",C207="WR",C207="TE"),U207*0.1+V207*6+R207*0.1+S207*6+X207*0.5+Y207*0.1+Z207*6,IF(C207="K",AC207*3+AD207*4+AE207*5+AF207,IF(C207="DST",AG207+AH207*2+AI207*6+AL207,0))))</x:f>
        <x:v>4.541551304347825</x:v>
      </x:c>
      <x:c r="AW207" s="22" t="n">
        <x:f>(AV207+AU207)*G207</x:f>
        <x:v>4.541551304347825</x:v>
      </x:c>
      <x:c r="AX207" s="22" t="n">
        <x:f>MAX(0,AW207*IF(C207="QB",0.68,IF(C207="RB",0.58,IF(C207="WR",0.52,IF(C207="TE",0.50,IF(C207="K",0.55,0.40))))))</x:f>
        <x:v>2.3616066782608693</x:v>
      </x:c>
      <x:c r="AY207" s="22" t="n">
        <x:f>AW207*IF(C207="QB",1.32,IF(C207="RB",1.45,IF(C207="WR",1.55,IF(C207="TE",1.60,IF(C207="K",1.45,1.65)))))</x:f>
        <x:v>7.0394045217391294</x:v>
      </x:c>
      <x:c r="AZ207" s="12" t="str">
        <x:v>High</x:v>
      </x:c>
      <x:c r="BA207" s="12" t="n">
        <x:v>7</x:v>
      </x:c>
      <x:c r="BB207" s="12" t="n">
        <x:f>COUNTIFS($C$2:$C$344,C207,$AW$2:$AW$344,"&gt;"&amp;AW207,$G$2:$G$344,"&gt;0")+COUNTIFS($C$2:C207,C207,$AW$2:AW207,AW207,$G$2:G207,"&gt;0")</x:f>
        <x:v>69</x:v>
      </x:c>
      <x:c r="BC207" s="12" t="n">
        <x:v>70</x:v>
      </x:c>
      <x:c r="BD207" s="12" t="str">
        <x:f>IF(BB207&lt;BC207,"↑",IF(BB207&gt;BC207,"↓","→"))</x:f>
        <x:v>↑</x:v>
      </x:c>
      <x:c r="BE207" s="23" t="str">
        <x:v>Fantasy Football Brief ROS baseline; official NFL schedule</x:v>
      </x:c>
      <x:c r="BF207" s="23" t="str">
        <x:v>Current role and availability baseline; all adjustment factors shown numerically</x:v>
      </x:c>
      <x:c r="BG207" s="23" t="str">
        <x:v>Material injury, depth-chart, or role change</x:v>
      </x:c>
      <x:c r="BH207" s="24" t="str">
        <x:v>2026-09-23 10:35 CT</x:v>
      </x:c>
    </x:row>
    <x:row r="208">
      <x:c r="A208" s="12" t="str">
        <x:v>Jaylin Noel</x:v>
      </x:c>
      <x:c r="B208" s="12" t="str">
        <x:v>HOU</x:v>
      </x:c>
      <x:c r="C208" s="12" t="str">
        <x:v>WR</x:v>
      </x:c>
      <x:c r="D208" s="12" t="str">
        <x:v>IND</x:v>
      </x:c>
      <x:c r="E208" s="12" t="str">
        <x:v>Away</x:v>
      </x:c>
      <x:c r="F208" s="12" t="str">
        <x:v>2026-09-27</x:v>
      </x:c>
      <x:c r="G208" s="19" t="n">
        <x:v>1</x:v>
      </x:c>
      <x:c r="H208" s="20" t="str">
        <x:v>ACTIVE</x:v>
      </x:c>
      <x:c r="I208" s="20" t="n">
        <x:v>60.31999999999999</x:v>
      </x:c>
      <x:c r="J208" s="20" t="str">
        <x:v>Routes</x:v>
      </x:c>
      <x:c r="K208" s="20" t="n">
        <x:v>12.855265700483093</x:v>
      </x:c>
      <x:c r="L208" s="21" t="n">
        <x:v>0</x:v>
      </x:c>
      <x:c r="M208" s="21" t="n">
        <x:v>0</x:v>
      </x:c>
      <x:c r="N208" s="21" t="n">
        <x:v>0</x:v>
      </x:c>
      <x:c r="O208" s="21" t="n">
        <x:v>0</x:v>
      </x:c>
      <x:c r="P208" s="21" t="n">
        <x:v>0</x:v>
      </x:c>
      <x:c r="Q208" s="21" t="n">
        <x:v>0.08293719806763285</x:v>
      </x:c>
      <x:c r="R208" s="21" t="n">
        <x:v>0.8457106086956523</x:v>
      </x:c>
      <x:c r="S208" s="21" t="n">
        <x:v>0</x:v>
      </x:c>
      <x:c r="T208" s="21" t="n">
        <x:v>0</x:v>
      </x:c>
      <x:c r="U208" s="21" t="n">
        <x:v>0</x:v>
      </x:c>
      <x:c r="V208" s="21" t="n">
        <x:v>0</x:v>
      </x:c>
      <x:c r="W208" s="21" t="n">
        <x:v>2.90280193236715</x:v>
      </x:c>
      <x:c r="X208" s="21" t="n">
        <x:v>1.866086956521739</x:v>
      </x:c>
      <x:c r="Y208" s="21" t="n">
        <x:v>24.525607652173914</x:v>
      </x:c>
      <x:c r="Z208" s="21" t="n">
        <x:v>0.14799935652173915</x:v>
      </x:c>
      <x:c r="AA208" s="21" t="n">
        <x:v>12.855265700483093</x:v>
      </x:c>
      <x:c r="AB208" s="21" t="n">
        <x:v>0.78</x:v>
      </x:c>
      <x:c r="AC208" s="21" t="n">
        <x:v>0</x:v>
      </x:c>
      <x:c r="AD208" s="21" t="n">
        <x:v>0</x:v>
      </x:c>
      <x:c r="AE208" s="21" t="n">
        <x:v>0</x:v>
      </x:c>
      <x:c r="AF208" s="21" t="n">
        <x:v>0</x:v>
      </x:c>
      <x:c r="AG208" s="21" t="n">
        <x:v>0</x:v>
      </x:c>
      <x:c r="AH208" s="21" t="n">
        <x:v>0</x:v>
      </x:c>
      <x:c r="AI208" s="21" t="n">
        <x:v>0</x:v>
      </x:c>
      <x:c r="AJ208" s="21" t="n">
        <x:v>0</x:v>
      </x:c>
      <x:c r="AK208" s="21" t="n">
        <x:v>0</x:v>
      </x:c>
      <x:c r="AL208" s="21" t="n">
        <x:v>0</x:v>
      </x:c>
      <x:c r="AM208" s="21" t="n">
        <x:v>1</x:v>
      </x:c>
      <x:c r="AN208" s="21" t="n">
        <x:v>1</x:v>
      </x:c>
      <x:c r="AO208" s="21" t="n">
        <x:v>1.16</x:v>
      </x:c>
      <x:c r="AP208" s="21" t="n">
        <x:v>0.99</x:v>
      </x:c>
      <x:c r="AQ208" s="21" t="n">
        <x:v>1.03</x:v>
      </x:c>
      <x:c r="AR208" s="21" t="n">
        <x:v>1</x:v>
      </x:c>
      <x:c r="AS208" s="21" t="n">
        <x:v>1</x:v>
      </x:c>
      <x:c r="AT208" s="21" t="n">
        <x:v>1</x:v>
      </x:c>
      <x:c r="AU208" s="21" t="n">
        <x:v>0</x:v>
      </x:c>
      <x:c r="AV208" s="22" t="n">
        <x:f>IF(C208="QB",N208*0.04+O208*4-P208*2+R208*0.1+S208*6,IF(OR(C208="RB",C208="WR",C208="TE"),U208*0.1+V208*6+R208*0.1+S208*6+X208*0.5+Y208*0.1+Z208*6,IF(C208="K",AC208*3+AD208*4+AE208*5+AF208,IF(C208="DST",AG208+AH208*2+AI208*6+AL208,0))))</x:f>
        <x:v>4.358171443478261</x:v>
      </x:c>
      <x:c r="AW208" s="22" t="n">
        <x:f>(AV208+AU208)*G208</x:f>
        <x:v>4.358171443478261</x:v>
      </x:c>
      <x:c r="AX208" s="22" t="n">
        <x:f>MAX(0,AW208*IF(C208="QB",0.68,IF(C208="RB",0.58,IF(C208="WR",0.52,IF(C208="TE",0.50,IF(C208="K",0.55,0.40))))))</x:f>
        <x:v>2.2662491506086955</x:v>
      </x:c>
      <x:c r="AY208" s="22" t="n">
        <x:f>AW208*IF(C208="QB",1.32,IF(C208="RB",1.45,IF(C208="WR",1.55,IF(C208="TE",1.60,IF(C208="K",1.45,1.65)))))</x:f>
        <x:v>6.755165737391304</x:v>
      </x:c>
      <x:c r="AZ208" s="12" t="str">
        <x:v>High</x:v>
      </x:c>
      <x:c r="BA208" s="12" t="n">
        <x:v>7</x:v>
      </x:c>
      <x:c r="BB208" s="12" t="n">
        <x:f>COUNTIFS($C$2:$C$344,C208,$AW$2:$AW$344,"&gt;"&amp;AW208,$G$2:$G$344,"&gt;0")+COUNTIFS($C$2:C208,C208,$AW$2:AW208,AW208,$G$2:G208,"&gt;0")</x:f>
        <x:v>70</x:v>
      </x:c>
      <x:c r="BC208" s="12" t="n">
        <x:v>71</x:v>
      </x:c>
      <x:c r="BD208" s="12" t="str">
        <x:f>IF(BB208&lt;BC208,"↑",IF(BB208&gt;BC208,"↓","→"))</x:f>
        <x:v>↑</x:v>
      </x:c>
      <x:c r="BE208" s="23" t="str">
        <x:v>Fantasy Football Brief ROS baseline; official NFL schedule</x:v>
      </x:c>
      <x:c r="BF208" s="23" t="str">
        <x:v>Conditional target redistribution while Collins remains at high risk of missing Week 3.</x:v>
      </x:c>
      <x:c r="BG208" s="23" t="str">
        <x:v>Collins returns to full practice</x:v>
      </x:c>
      <x:c r="BH208" s="24" t="str">
        <x:v>2026-09-23 10:35 CT</x:v>
      </x:c>
    </x:row>
    <x:row r="209">
      <x:c r="A209" s="12" t="str">
        <x:v>Kayshon Boutte</x:v>
      </x:c>
      <x:c r="B209" s="12" t="str">
        <x:v>HOU</x:v>
      </x:c>
      <x:c r="C209" s="12" t="str">
        <x:v>WR</x:v>
      </x:c>
      <x:c r="D209" s="12" t="str">
        <x:v>IND</x:v>
      </x:c>
      <x:c r="E209" s="12" t="str">
        <x:v>Away</x:v>
      </x:c>
      <x:c r="F209" s="12" t="str">
        <x:v>2026-09-27</x:v>
      </x:c>
      <x:c r="G209" s="19" t="n">
        <x:v>1</x:v>
      </x:c>
      <x:c r="H209" s="20" t="str">
        <x:v>ACTIVE</x:v>
      </x:c>
      <x:c r="I209" s="20" t="n">
        <x:v>60.31999999999999</x:v>
      </x:c>
      <x:c r="J209" s="20" t="str">
        <x:v>Routes</x:v>
      </x:c>
      <x:c r="K209" s="20" t="n">
        <x:v>12.855265700483093</x:v>
      </x:c>
      <x:c r="L209" s="21" t="n">
        <x:v>0</x:v>
      </x:c>
      <x:c r="M209" s="21" t="n">
        <x:v>0</x:v>
      </x:c>
      <x:c r="N209" s="21" t="n">
        <x:v>0</x:v>
      </x:c>
      <x:c r="O209" s="21" t="n">
        <x:v>0</x:v>
      </x:c>
      <x:c r="P209" s="21" t="n">
        <x:v>0</x:v>
      </x:c>
      <x:c r="Q209" s="21" t="n">
        <x:v>0.08293719806763285</x:v>
      </x:c>
      <x:c r="R209" s="21" t="n">
        <x:v>0.8457106086956523</x:v>
      </x:c>
      <x:c r="S209" s="21" t="n">
        <x:v>0</x:v>
      </x:c>
      <x:c r="T209" s="21" t="n">
        <x:v>0</x:v>
      </x:c>
      <x:c r="U209" s="21" t="n">
        <x:v>0</x:v>
      </x:c>
      <x:c r="V209" s="21" t="n">
        <x:v>0</x:v>
      </x:c>
      <x:c r="W209" s="21" t="n">
        <x:v>2.90280193236715</x:v>
      </x:c>
      <x:c r="X209" s="21" t="n">
        <x:v>1.866086956521739</x:v>
      </x:c>
      <x:c r="Y209" s="21" t="n">
        <x:v>24.525607652173914</x:v>
      </x:c>
      <x:c r="Z209" s="21" t="n">
        <x:v>0.14799935652173915</x:v>
      </x:c>
      <x:c r="AA209" s="21" t="n">
        <x:v>12.855265700483093</x:v>
      </x:c>
      <x:c r="AB209" s="21" t="n">
        <x:v>0.78</x:v>
      </x:c>
      <x:c r="AC209" s="21" t="n">
        <x:v>0</x:v>
      </x:c>
      <x:c r="AD209" s="21" t="n">
        <x:v>0</x:v>
      </x:c>
      <x:c r="AE209" s="21" t="n">
        <x:v>0</x:v>
      </x:c>
      <x:c r="AF209" s="21" t="n">
        <x:v>0</x:v>
      </x:c>
      <x:c r="AG209" s="21" t="n">
        <x:v>0</x:v>
      </x:c>
      <x:c r="AH209" s="21" t="n">
        <x:v>0</x:v>
      </x:c>
      <x:c r="AI209" s="21" t="n">
        <x:v>0</x:v>
      </x:c>
      <x:c r="AJ209" s="21" t="n">
        <x:v>0</x:v>
      </x:c>
      <x:c r="AK209" s="21" t="n">
        <x:v>0</x:v>
      </x:c>
      <x:c r="AL209" s="21" t="n">
        <x:v>0</x:v>
      </x:c>
      <x:c r="AM209" s="21" t="n">
        <x:v>1</x:v>
      </x:c>
      <x:c r="AN209" s="21" t="n">
        <x:v>1</x:v>
      </x:c>
      <x:c r="AO209" s="21" t="n">
        <x:v>1.16</x:v>
      </x:c>
      <x:c r="AP209" s="21" t="n">
        <x:v>0.99</x:v>
      </x:c>
      <x:c r="AQ209" s="21" t="n">
        <x:v>1.03</x:v>
      </x:c>
      <x:c r="AR209" s="21" t="n">
        <x:v>1</x:v>
      </x:c>
      <x:c r="AS209" s="21" t="n">
        <x:v>1</x:v>
      </x:c>
      <x:c r="AT209" s="21" t="n">
        <x:v>1</x:v>
      </x:c>
      <x:c r="AU209" s="21" t="n">
        <x:v>0</x:v>
      </x:c>
      <x:c r="AV209" s="22" t="n">
        <x:f>IF(C209="QB",N209*0.04+O209*4-P209*2+R209*0.1+S209*6,IF(OR(C209="RB",C209="WR",C209="TE"),U209*0.1+V209*6+R209*0.1+S209*6+X209*0.5+Y209*0.1+Z209*6,IF(C209="K",AC209*3+AD209*4+AE209*5+AF209,IF(C209="DST",AG209+AH209*2+AI209*6+AL209,0))))</x:f>
        <x:v>4.358171443478261</x:v>
      </x:c>
      <x:c r="AW209" s="22" t="n">
        <x:f>(AV209+AU209)*G209</x:f>
        <x:v>4.358171443478261</x:v>
      </x:c>
      <x:c r="AX209" s="22" t="n">
        <x:f>MAX(0,AW209*IF(C209="QB",0.68,IF(C209="RB",0.58,IF(C209="WR",0.52,IF(C209="TE",0.50,IF(C209="K",0.55,0.40))))))</x:f>
        <x:v>2.2662491506086955</x:v>
      </x:c>
      <x:c r="AY209" s="22" t="n">
        <x:f>AW209*IF(C209="QB",1.32,IF(C209="RB",1.45,IF(C209="WR",1.55,IF(C209="TE",1.60,IF(C209="K",1.45,1.65)))))</x:f>
        <x:v>6.755165737391304</x:v>
      </x:c>
      <x:c r="AZ209" s="12" t="str">
        <x:v>High</x:v>
      </x:c>
      <x:c r="BA209" s="12" t="n">
        <x:v>7</x:v>
      </x:c>
      <x:c r="BB209" s="12" t="n">
        <x:f>COUNTIFS($C$2:$C$344,C209,$AW$2:$AW$344,"&gt;"&amp;AW209,$G$2:$G$344,"&gt;0")+COUNTIFS($C$2:C209,C209,$AW$2:AW209,AW209,$G$2:G209,"&gt;0")</x:f>
        <x:v>71</x:v>
      </x:c>
      <x:c r="BC209" s="12" t="n">
        <x:v>72</x:v>
      </x:c>
      <x:c r="BD209" s="12" t="str">
        <x:f>IF(BB209&lt;BC209,"↑",IF(BB209&gt;BC209,"↓","→"))</x:f>
        <x:v>↑</x:v>
      </x:c>
      <x:c r="BE209" s="23" t="str">
        <x:v>Fantasy Football Brief ROS baseline; official NFL schedule</x:v>
      </x:c>
      <x:c r="BF209" s="23" t="str">
        <x:v>Conditional target redistribution while Collins remains at high risk of missing Week 3.</x:v>
      </x:c>
      <x:c r="BG209" s="23" t="str">
        <x:v>Collins returns to full practice</x:v>
      </x:c>
      <x:c r="BH209" s="24" t="str">
        <x:v>2026-09-23 10:35 CT</x:v>
      </x:c>
    </x:row>
    <x:row r="210">
      <x:c r="A210" s="12" t="str">
        <x:v>Andrei Iosivas</x:v>
      </x:c>
      <x:c r="B210" s="12" t="str">
        <x:v>CIN</x:v>
      </x:c>
      <x:c r="C210" s="12" t="str">
        <x:v>WR</x:v>
      </x:c>
      <x:c r="D210" s="12" t="str">
        <x:v>PIT</x:v>
      </x:c>
      <x:c r="E210" s="12" t="str">
        <x:v>Away</x:v>
      </x:c>
      <x:c r="F210" s="12" t="str">
        <x:v>2026-09-27</x:v>
      </x:c>
      <x:c r="G210" s="19" t="n">
        <x:v>1</x:v>
      </x:c>
      <x:c r="H210" s="20" t="str">
        <x:v>ACTIVE</x:v>
      </x:c>
      <x:c r="I210" s="20" t="n">
        <x:v>52</x:v>
      </x:c>
      <x:c r="J210" s="20" t="str">
        <x:v>Routes</x:v>
      </x:c>
      <x:c r="K210" s="20" t="n">
        <x:v>13.178743961352659</x:v>
      </x:c>
      <x:c r="L210" s="21" t="n">
        <x:v>0</x:v>
      </x:c>
      <x:c r="M210" s="21" t="n">
        <x:v>0</x:v>
      </x:c>
      <x:c r="N210" s="21" t="n">
        <x:v>0</x:v>
      </x:c>
      <x:c r="O210" s="21" t="n">
        <x:v>0</x:v>
      </x:c>
      <x:c r="P210" s="21" t="n">
        <x:v>0</x:v>
      </x:c>
      <x:c r="Q210" s="21" t="n">
        <x:v>0.085024154589372</x:v>
      </x:c>
      <x:c r="R210" s="21" t="n">
        <x:v>0.8329816425120774</x:v>
      </x:c>
      <x:c r="S210" s="21" t="n">
        <x:v>0</x:v>
      </x:c>
      <x:c r="T210" s="21" t="n">
        <x:v>0</x:v>
      </x:c>
      <x:c r="U210" s="21" t="n">
        <x:v>0</x:v>
      </x:c>
      <x:c r="V210" s="21" t="n">
        <x:v>0</x:v>
      </x:c>
      <x:c r="W210" s="21" t="n">
        <x:v>2.9758454106280197</x:v>
      </x:c>
      <x:c r="X210" s="21" t="n">
        <x:v>1.9130434782608698</x:v>
      </x:c>
      <x:c r="Y210" s="21" t="n">
        <x:v>24.156467632850244</x:v>
      </x:c>
      <x:c r="Z210" s="21" t="n">
        <x:v>0.14577178743961355</x:v>
      </x:c>
      <x:c r="AA210" s="21" t="n">
        <x:v>13.178743961352659</x:v>
      </x:c>
      <x:c r="AB210" s="21" t="n">
        <x:v>0.78</x:v>
      </x:c>
      <x:c r="AC210" s="21" t="n">
        <x:v>0</x:v>
      </x:c>
      <x:c r="AD210" s="21" t="n">
        <x:v>0</x:v>
      </x:c>
      <x:c r="AE210" s="21" t="n">
        <x:v>0</x:v>
      </x:c>
      <x:c r="AF210" s="21" t="n">
        <x:v>0</x:v>
      </x:c>
      <x:c r="AG210" s="21" t="n">
        <x:v>0</x:v>
      </x:c>
      <x:c r="AH210" s="21" t="n">
        <x:v>0</x:v>
      </x:c>
      <x:c r="AI210" s="21" t="n">
        <x:v>0</x:v>
      </x:c>
      <x:c r="AJ210" s="21" t="n">
        <x:v>0</x:v>
      </x:c>
      <x:c r="AK210" s="21" t="n">
        <x:v>0</x:v>
      </x:c>
      <x:c r="AL210" s="21" t="n">
        <x:v>0</x:v>
      </x:c>
      <x:c r="AM210" s="21" t="n">
        <x:v>1</x:v>
      </x:c>
      <x:c r="AN210" s="21" t="n">
        <x:v>1</x:v>
      </x:c>
      <x:c r="AO210" s="21" t="n">
        <x:v>1</x:v>
      </x:c>
      <x:c r="AP210" s="21" t="n">
        <x:v>1.01</x:v>
      </x:c>
      <x:c r="AQ210" s="21" t="n">
        <x:v>0.97</x:v>
      </x:c>
      <x:c r="AR210" s="21" t="n">
        <x:v>1</x:v>
      </x:c>
      <x:c r="AS210" s="21" t="n">
        <x:v>1</x:v>
      </x:c>
      <x:c r="AT210" s="21" t="n">
        <x:v>1</x:v>
      </x:c>
      <x:c r="AU210" s="21" t="n">
        <x:v>0</x:v>
      </x:c>
      <x:c r="AV210" s="22" t="n">
        <x:f>IF(C210="QB",N210*0.04+O210*4-P210*2+R210*0.1+S210*6,IF(OR(C210="RB",C210="WR",C210="TE"),U210*0.1+V210*6+R210*0.1+S210*6+X210*0.5+Y210*0.1+Z210*6,IF(C210="K",AC210*3+AD210*4+AE210*5+AF210,IF(C210="DST",AG210+AH210*2+AI210*6+AL210,0))))</x:f>
        <x:v>4.330097391304348</x:v>
      </x:c>
      <x:c r="AW210" s="22" t="n">
        <x:f>(AV210+AU210)*G210</x:f>
        <x:v>4.330097391304348</x:v>
      </x:c>
      <x:c r="AX210" s="22" t="n">
        <x:f>MAX(0,AW210*IF(C210="QB",0.68,IF(C210="RB",0.58,IF(C210="WR",0.52,IF(C210="TE",0.50,IF(C210="K",0.55,0.40))))))</x:f>
        <x:v>2.251650643478261</x:v>
      </x:c>
      <x:c r="AY210" s="22" t="n">
        <x:f>AW210*IF(C210="QB",1.32,IF(C210="RB",1.45,IF(C210="WR",1.55,IF(C210="TE",1.60,IF(C210="K",1.45,1.65)))))</x:f>
        <x:v>6.71165095652174</x:v>
      </x:c>
      <x:c r="AZ210" s="12" t="str">
        <x:v>High</x:v>
      </x:c>
      <x:c r="BA210" s="12" t="n">
        <x:v>7</x:v>
      </x:c>
      <x:c r="BB210" s="12" t="n">
        <x:f>COUNTIFS($C$2:$C$344,C210,$AW$2:$AW$344,"&gt;"&amp;AW210,$G$2:$G$344,"&gt;0")+COUNTIFS($C$2:C210,C210,$AW$2:AW210,AW210,$G$2:G210,"&gt;0")</x:f>
        <x:v>72</x:v>
      </x:c>
      <x:c r="BC210" s="12" t="n">
        <x:v>73</x:v>
      </x:c>
      <x:c r="BD210" s="12" t="str">
        <x:f>IF(BB210&lt;BC210,"↑",IF(BB210&gt;BC210,"↓","→"))</x:f>
        <x:v>↑</x:v>
      </x:c>
      <x:c r="BE210" s="23" t="str">
        <x:v>Fantasy Football Brief ROS baseline; official NFL schedule</x:v>
      </x:c>
      <x:c r="BF210" s="23" t="str">
        <x:v>Current role and availability baseline; all adjustment factors shown numerically</x:v>
      </x:c>
      <x:c r="BG210" s="23" t="str">
        <x:v>Material injury, depth-chart, or role change</x:v>
      </x:c>
      <x:c r="BH210" s="24" t="str">
        <x:v>2026-09-23 10:35 CT</x:v>
      </x:c>
    </x:row>
    <x:row r="211">
      <x:c r="A211" s="12" t="str">
        <x:v>Darius Slayton</x:v>
      </x:c>
      <x:c r="B211" s="12" t="str">
        <x:v>IND</x:v>
      </x:c>
      <x:c r="C211" s="12" t="str">
        <x:v>WR</x:v>
      </x:c>
      <x:c r="D211" s="12" t="str">
        <x:v>HOU</x:v>
      </x:c>
      <x:c r="E211" s="12" t="str">
        <x:v>Home</x:v>
      </x:c>
      <x:c r="F211" s="12" t="str">
        <x:v>2026-09-27</x:v>
      </x:c>
      <x:c r="G211" s="19" t="n">
        <x:v>0.9</x:v>
      </x:c>
      <x:c r="H211" s="20" t="str">
        <x:v>ACTIVE</x:v>
      </x:c>
      <x:c r="I211" s="20" t="n">
        <x:v>44</x:v>
      </x:c>
      <x:c r="J211" s="20" t="str">
        <x:v>Routes</x:v>
      </x:c>
      <x:c r="K211" s="20" t="n">
        <x:v>24</x:v>
      </x:c>
      <x:c r="L211" s="21" t="n">
        <x:v>0</x:v>
      </x:c>
      <x:c r="M211" s="21" t="n">
        <x:v>0</x:v>
      </x:c>
      <x:c r="N211" s="21" t="n">
        <x:v>0</x:v>
      </x:c>
      <x:c r="O211" s="21" t="n">
        <x:v>0</x:v>
      </x:c>
      <x:c r="P211" s="21" t="n">
        <x:v>0</x:v>
      </x:c>
      <x:c r="Q211" s="21" t="n">
        <x:v>0</x:v>
      </x:c>
      <x:c r="R211" s="21" t="n">
        <x:v>0</x:v>
      </x:c>
      <x:c r="S211" s="21" t="n">
        <x:v>0</x:v>
      </x:c>
      <x:c r="T211" s="21" t="n">
        <x:v>0</x:v>
      </x:c>
      <x:c r="U211" s="21" t="n">
        <x:v>0</x:v>
      </x:c>
      <x:c r="V211" s="21" t="n">
        <x:v>0</x:v>
      </x:c>
      <x:c r="W211" s="21" t="n">
        <x:v>4.8</x:v>
      </x:c>
      <x:c r="X211" s="21" t="n">
        <x:v>3</x:v>
      </x:c>
      <x:c r="Y211" s="21" t="n">
        <x:v>19.95</x:v>
      </x:c>
      <x:c r="Z211" s="21" t="n">
        <x:v>0.19</x:v>
      </x:c>
      <x:c r="AA211" s="21" t="n">
        <x:v>30</x:v>
      </x:c>
      <x:c r="AB211" s="21" t="n">
        <x:v>0.62</x:v>
      </x:c>
      <x:c r="AC211" s="21" t="n">
        <x:v>0</x:v>
      </x:c>
      <x:c r="AD211" s="21" t="n">
        <x:v>0</x:v>
      </x:c>
      <x:c r="AE211" s="21" t="n">
        <x:v>0</x:v>
      </x:c>
      <x:c r="AF211" s="21" t="n">
        <x:v>0</x:v>
      </x:c>
      <x:c r="AG211" s="21" t="n">
        <x:v>0</x:v>
      </x:c>
      <x:c r="AH211" s="21" t="n">
        <x:v>0</x:v>
      </x:c>
      <x:c r="AI211" s="21" t="n">
        <x:v>0</x:v>
      </x:c>
      <x:c r="AJ211" s="21" t="n">
        <x:v>0</x:v>
      </x:c>
      <x:c r="AK211" s="21" t="n">
        <x:v>0</x:v>
      </x:c>
      <x:c r="AL211" s="21" t="n">
        <x:v>0</x:v>
      </x:c>
      <x:c r="AM211" s="21" t="n">
        <x:v>0.9</x:v>
      </x:c>
      <x:c r="AN211" s="21" t="n">
        <x:v>1</x:v>
      </x:c>
      <x:c r="AO211" s="21" t="n">
        <x:v>1</x:v>
      </x:c>
      <x:c r="AP211" s="21" t="n">
        <x:v>1</x:v>
      </x:c>
      <x:c r="AQ211" s="21" t="n">
        <x:v>0.95</x:v>
      </x:c>
      <x:c r="AR211" s="21" t="n">
        <x:v>1</x:v>
      </x:c>
      <x:c r="AS211" s="21" t="n">
        <x:v>1</x:v>
      </x:c>
      <x:c r="AT211" s="21" t="n">
        <x:v>1</x:v>
      </x:c>
      <x:c r="AU211" s="21" t="n">
        <x:v>0</x:v>
      </x:c>
      <x:c r="AV211" s="22" t="n">
        <x:f>IF(C211="QB",N211*0.04+O211*4-P211*2+R211*0.1+S211*6,IF(OR(C211="RB",C211="WR",C211="TE"),U211*0.1+V211*6+R211*0.1+S211*6+X211*0.5+Y211*0.1+Z211*6,IF(C211="K",AC211*3+AD211*4+AE211*5+AF211,IF(C211="DST",AG211+AH211*2+AI211*6+AL211,0))))</x:f>
        <x:v>4.635</x:v>
      </x:c>
      <x:c r="AW211" s="22" t="n">
        <x:f>(AV211+AU211)*G211</x:f>
        <x:v>4.1715</x:v>
      </x:c>
      <x:c r="AX211" s="22" t="n">
        <x:f>MAX(0,AW211*IF(C211="QB",0.68,IF(C211="RB",0.58,IF(C211="WR",0.52,IF(C211="TE",0.50,IF(C211="K",0.55,0.40))))))</x:f>
        <x:v>2.16918</x:v>
      </x:c>
      <x:c r="AY211" s="22" t="n">
        <x:f>AW211*IF(C211="QB",1.32,IF(C211="RB",1.45,IF(C211="WR",1.55,IF(C211="TE",1.60,IF(C211="K",1.45,1.65)))))</x:f>
        <x:v>6.465825000000001</x:v>
      </x:c>
      <x:c r="AZ211" s="12" t="str">
        <x:v>Moderate</x:v>
      </x:c>
      <x:c r="BA211" s="12" t="n">
        <x:v>7</x:v>
      </x:c>
      <x:c r="BB211" s="12" t="n">
        <x:f>COUNTIFS($C$2:$C$344,C211,$AW$2:$AW$344,"&gt;"&amp;AW211,$G$2:$G$344,"&gt;0")+COUNTIFS($C$2:C211,C211,$AW$2:AW211,AW211,$G$2:G211,"&gt;0")</x:f>
        <x:v>73</x:v>
      </x:c>
      <x:c r="BC211" s="12" t="n">
        <x:v>74</x:v>
      </x:c>
      <x:c r="BD211" s="12" t="str">
        <x:f>IF(BB211&lt;BC211,"↑",IF(BB211&gt;BC211,"↓","→"))</x:f>
        <x:v>↑</x:v>
      </x:c>
      <x:c r="BE211" s="23" t="str">
        <x:v>Reuters, Sep. 22: Colts signed Slayton after Pierce heel injury</x:v>
      </x:c>
      <x:c r="BF211" s="23" t="str">
        <x:v>Immediate deep-route candidate, but timing and route share remain uncertain.</x:v>
      </x:c>
      <x:c r="BG211" s="23" t="str">
        <x:v>Wednesday-Friday practice usage and active status</x:v>
      </x:c>
      <x:c r="BH211" s="24" t="str">
        <x:v>2026-09-23 10:35 CT</x:v>
      </x:c>
    </x:row>
    <x:row r="212">
      <x:c r="A212" s="12" t="str">
        <x:v>Dontayvion Wicks</x:v>
      </x:c>
      <x:c r="B212" s="12" t="str">
        <x:v>PHI</x:v>
      </x:c>
      <x:c r="C212" s="12" t="str">
        <x:v>WR</x:v>
      </x:c>
      <x:c r="D212" s="12" t="str">
        <x:v>CHI</x:v>
      </x:c>
      <x:c r="E212" s="12" t="str">
        <x:v>Away</x:v>
      </x:c>
      <x:c r="F212" s="12" t="str">
        <x:v>2026-09-28</x:v>
      </x:c>
      <x:c r="G212" s="19" t="n">
        <x:v>1</x:v>
      </x:c>
      <x:c r="H212" s="20" t="str">
        <x:v>ACTIVE</x:v>
      </x:c>
      <x:c r="I212" s="20" t="n">
        <x:v>52</x:v>
      </x:c>
      <x:c r="J212" s="20" t="str">
        <x:v>Routes</x:v>
      </x:c>
      <x:c r="K212" s="20" t="n">
        <x:v>11.980676328502415</x:v>
      </x:c>
      <x:c r="L212" s="21" t="n">
        <x:v>0</x:v>
      </x:c>
      <x:c r="M212" s="21" t="n">
        <x:v>0</x:v>
      </x:c>
      <x:c r="N212" s="21" t="n">
        <x:v>0</x:v>
      </x:c>
      <x:c r="O212" s="21" t="n">
        <x:v>0</x:v>
      </x:c>
      <x:c r="P212" s="21" t="n">
        <x:v>0</x:v>
      </x:c>
      <x:c r="Q212" s="21" t="n">
        <x:v>0.07729468599033817</x:v>
      </x:c>
      <x:c r="R212" s="21" t="n">
        <x:v>0.8120579710144927</x:v>
      </x:c>
      <x:c r="S212" s="21" t="n">
        <x:v>0</x:v>
      </x:c>
      <x:c r="T212" s="21" t="n">
        <x:v>0</x:v>
      </x:c>
      <x:c r="U212" s="21" t="n">
        <x:v>0</x:v>
      </x:c>
      <x:c r="V212" s="21" t="n">
        <x:v>0</x:v>
      </x:c>
      <x:c r="W212" s="21" t="n">
        <x:v>2.7053140096618358</x:v>
      </x:c>
      <x:c r="X212" s="21" t="n">
        <x:v>1.7391304347826086</x:v>
      </x:c>
      <x:c r="Y212" s="21" t="n">
        <x:v>23.549681159420288</x:v>
      </x:c>
      <x:c r="Z212" s="21" t="n">
        <x:v>0.1421101449275362</x:v>
      </x:c>
      <x:c r="AA212" s="21" t="n">
        <x:v>11.980676328502415</x:v>
      </x:c>
      <x:c r="AB212" s="21" t="n">
        <x:v>0.78</x:v>
      </x:c>
      <x:c r="AC212" s="21" t="n">
        <x:v>0</x:v>
      </x:c>
      <x:c r="AD212" s="21" t="n">
        <x:v>0</x:v>
      </x:c>
      <x:c r="AE212" s="21" t="n">
        <x:v>0</x:v>
      </x:c>
      <x:c r="AF212" s="21" t="n">
        <x:v>0</x:v>
      </x:c>
      <x:c r="AG212" s="21" t="n">
        <x:v>0</x:v>
      </x:c>
      <x:c r="AH212" s="21" t="n">
        <x:v>0</x:v>
      </x:c>
      <x:c r="AI212" s="21" t="n">
        <x:v>0</x:v>
      </x:c>
      <x:c r="AJ212" s="21" t="n">
        <x:v>0</x:v>
      </x:c>
      <x:c r="AK212" s="21" t="n">
        <x:v>0</x:v>
      </x:c>
      <x:c r="AL212" s="21" t="n">
        <x:v>0</x:v>
      </x:c>
      <x:c r="AM212" s="21" t="n">
        <x:v>1</x:v>
      </x:c>
      <x:c r="AN212" s="21" t="n">
        <x:v>1</x:v>
      </x:c>
      <x:c r="AO212" s="21" t="n">
        <x:v>1</x:v>
      </x:c>
      <x:c r="AP212" s="21" t="n">
        <x:v>1.03</x:v>
      </x:c>
      <x:c r="AQ212" s="21" t="n">
        <x:v>1.02</x:v>
      </x:c>
      <x:c r="AR212" s="21" t="n">
        <x:v>1</x:v>
      </x:c>
      <x:c r="AS212" s="21" t="n">
        <x:v>1</x:v>
      </x:c>
      <x:c r="AT212" s="21" t="n">
        <x:v>1</x:v>
      </x:c>
      <x:c r="AU212" s="21" t="n">
        <x:v>0</x:v>
      </x:c>
      <x:c r="AV212" s="22" t="n">
        <x:f>IF(C212="QB",N212*0.04+O212*4-P212*2+R212*0.1+S212*6,IF(OR(C212="RB",C212="WR",C212="TE"),U212*0.1+V212*6+R212*0.1+S212*6+X212*0.5+Y212*0.1+Z212*6,IF(C212="K",AC212*3+AD212*4+AE212*5+AF212,IF(C212="DST",AG212+AH212*2+AI212*6+AL212,0))))</x:f>
        <x:v>4.158399999999999</x:v>
      </x:c>
      <x:c r="AW212" s="22" t="n">
        <x:f>(AV212+AU212)*G212</x:f>
        <x:v>4.158399999999999</x:v>
      </x:c>
      <x:c r="AX212" s="22" t="n">
        <x:f>MAX(0,AW212*IF(C212="QB",0.68,IF(C212="RB",0.58,IF(C212="WR",0.52,IF(C212="TE",0.50,IF(C212="K",0.55,0.40))))))</x:f>
        <x:v>2.162368</x:v>
      </x:c>
      <x:c r="AY212" s="22" t="n">
        <x:f>AW212*IF(C212="QB",1.32,IF(C212="RB",1.45,IF(C212="WR",1.55,IF(C212="TE",1.60,IF(C212="K",1.45,1.65)))))</x:f>
        <x:v>6.445519999999999</x:v>
      </x:c>
      <x:c r="AZ212" s="12" t="str">
        <x:v>High</x:v>
      </x:c>
      <x:c r="BA212" s="12" t="n">
        <x:v>7</x:v>
      </x:c>
      <x:c r="BB212" s="12" t="n">
        <x:f>COUNTIFS($C$2:$C$344,C212,$AW$2:$AW$344,"&gt;"&amp;AW212,$G$2:$G$344,"&gt;0")+COUNTIFS($C$2:C212,C212,$AW$2:AW212,AW212,$G$2:G212,"&gt;0")</x:f>
        <x:v>74</x:v>
      </x:c>
      <x:c r="BC212" s="12" t="n">
        <x:v>75</x:v>
      </x:c>
      <x:c r="BD212" s="12" t="str">
        <x:f>IF(BB212&lt;BC212,"↑",IF(BB212&gt;BC212,"↓","→"))</x:f>
        <x:v>↑</x:v>
      </x:c>
      <x:c r="BE212" s="23" t="str">
        <x:v>Fantasy Football Brief ROS baseline; official NFL schedule</x:v>
      </x:c>
      <x:c r="BF212" s="23" t="str">
        <x:v>Current role and availability baseline; all adjustment factors shown numerically</x:v>
      </x:c>
      <x:c r="BG212" s="23" t="str">
        <x:v>Material injury, depth-chart, or role change</x:v>
      </x:c>
      <x:c r="BH212" s="24" t="str">
        <x:v>2026-09-23 10:35 CT</x:v>
      </x:c>
    </x:row>
    <x:row r="213">
      <x:c r="A213" s="12" t="str">
        <x:v>Isaac TeSlaa</x:v>
      </x:c>
      <x:c r="B213" s="12" t="str">
        <x:v>DET</x:v>
      </x:c>
      <x:c r="C213" s="12" t="str">
        <x:v>WR</x:v>
      </x:c>
      <x:c r="D213" s="12" t="str">
        <x:v>NYJ</x:v>
      </x:c>
      <x:c r="E213" s="12" t="str">
        <x:v>Home</x:v>
      </x:c>
      <x:c r="F213" s="12" t="str">
        <x:v>2026-09-27</x:v>
      </x:c>
      <x:c r="G213" s="19" t="n">
        <x:v>1</x:v>
      </x:c>
      <x:c r="H213" s="20" t="str">
        <x:v>ACTIVE</x:v>
      </x:c>
      <x:c r="I213" s="20" t="n">
        <x:v>52</x:v>
      </x:c>
      <x:c r="J213" s="20" t="str">
        <x:v>Routes</x:v>
      </x:c>
      <x:c r="K213" s="20" t="n">
        <x:v>11.681159420289855</x:v>
      </x:c>
      <x:c r="L213" s="21" t="n">
        <x:v>0</x:v>
      </x:c>
      <x:c r="M213" s="21" t="n">
        <x:v>0</x:v>
      </x:c>
      <x:c r="N213" s="21" t="n">
        <x:v>0</x:v>
      </x:c>
      <x:c r="O213" s="21" t="n">
        <x:v>0</x:v>
      </x:c>
      <x:c r="P213" s="21" t="n">
        <x:v>0</x:v>
      </x:c>
      <x:c r="Q213" s="21" t="n">
        <x:v>0.07536231884057971</x:v>
      </x:c>
      <x:c r="R213" s="21" t="n">
        <x:v>0.7995188405797101</x:v>
      </x:c>
      <x:c r="S213" s="21" t="n">
        <x:v>0</x:v>
      </x:c>
      <x:c r="T213" s="21" t="n">
        <x:v>0</x:v>
      </x:c>
      <x:c r="U213" s="21" t="n">
        <x:v>0</x:v>
      </x:c>
      <x:c r="V213" s="21" t="n">
        <x:v>0</x:v>
      </x:c>
      <x:c r="W213" s="21" t="n">
        <x:v>2.63768115942029</x:v>
      </x:c>
      <x:c r="X213" s="21" t="n">
        <x:v>1.6956521739130435</x:v>
      </x:c>
      <x:c r="Y213" s="21" t="n">
        <x:v>23.186046376811593</x:v>
      </x:c>
      <x:c r="Z213" s="21" t="n">
        <x:v>0.13991579710144927</x:v>
      </x:c>
      <x:c r="AA213" s="21" t="n">
        <x:v>11.681159420289855</x:v>
      </x:c>
      <x:c r="AB213" s="21" t="n">
        <x:v>0.78</x:v>
      </x:c>
      <x:c r="AC213" s="21" t="n">
        <x:v>0</x:v>
      </x:c>
      <x:c r="AD213" s="21" t="n">
        <x:v>0</x:v>
      </x:c>
      <x:c r="AE213" s="21" t="n">
        <x:v>0</x:v>
      </x:c>
      <x:c r="AF213" s="21" t="n">
        <x:v>0</x:v>
      </x:c>
      <x:c r="AG213" s="21" t="n">
        <x:v>0</x:v>
      </x:c>
      <x:c r="AH213" s="21" t="n">
        <x:v>0</x:v>
      </x:c>
      <x:c r="AI213" s="21" t="n">
        <x:v>0</x:v>
      </x:c>
      <x:c r="AJ213" s="21" t="n">
        <x:v>0</x:v>
      </x:c>
      <x:c r="AK213" s="21" t="n">
        <x:v>0</x:v>
      </x:c>
      <x:c r="AL213" s="21" t="n">
        <x:v>0</x:v>
      </x:c>
      <x:c r="AM213" s="21" t="n">
        <x:v>1</x:v>
      </x:c>
      <x:c r="AN213" s="21" t="n">
        <x:v>1</x:v>
      </x:c>
      <x:c r="AO213" s="21" t="n">
        <x:v>1</x:v>
      </x:c>
      <x:c r="AP213" s="21" t="n">
        <x:v>1.03</x:v>
      </x:c>
      <x:c r="AQ213" s="21" t="n">
        <x:v>1.03</x:v>
      </x:c>
      <x:c r="AR213" s="21" t="n">
        <x:v>1</x:v>
      </x:c>
      <x:c r="AS213" s="21" t="n">
        <x:v>1</x:v>
      </x:c>
      <x:c r="AT213" s="21" t="n">
        <x:v>1</x:v>
      </x:c>
      <x:c r="AU213" s="21" t="n">
        <x:v>0</x:v>
      </x:c>
      <x:c r="AV213" s="22" t="n">
        <x:f>IF(C213="QB",N213*0.04+O213*4-P213*2+R213*0.1+S213*6,IF(OR(C213="RB",C213="WR",C213="TE"),U213*0.1+V213*6+R213*0.1+S213*6+X213*0.5+Y213*0.1+Z213*6,IF(C213="K",AC213*3+AD213*4+AE213*5+AF213,IF(C213="DST",AG213+AH213*2+AI213*6+AL213,0))))</x:f>
        <x:v>4.085877391304348</x:v>
      </x:c>
      <x:c r="AW213" s="22" t="n">
        <x:f>(AV213+AU213)*G213</x:f>
        <x:v>4.085877391304348</x:v>
      </x:c>
      <x:c r="AX213" s="22" t="n">
        <x:f>MAX(0,AW213*IF(C213="QB",0.68,IF(C213="RB",0.58,IF(C213="WR",0.52,IF(C213="TE",0.50,IF(C213="K",0.55,0.40))))))</x:f>
        <x:v>2.124656243478261</x:v>
      </x:c>
      <x:c r="AY213" s="22" t="n">
        <x:f>AW213*IF(C213="QB",1.32,IF(C213="RB",1.45,IF(C213="WR",1.55,IF(C213="TE",1.60,IF(C213="K",1.45,1.65)))))</x:f>
        <x:v>6.3331099565217395</x:v>
      </x:c>
      <x:c r="AZ213" s="12" t="str">
        <x:v>High</x:v>
      </x:c>
      <x:c r="BA213" s="12" t="n">
        <x:v>7</x:v>
      </x:c>
      <x:c r="BB213" s="12" t="n">
        <x:f>COUNTIFS($C$2:$C$344,C213,$AW$2:$AW$344,"&gt;"&amp;AW213,$G$2:$G$344,"&gt;0")+COUNTIFS($C$2:C213,C213,$AW$2:AW213,AW213,$G$2:G213,"&gt;0")</x:f>
        <x:v>75</x:v>
      </x:c>
      <x:c r="BC213" s="12" t="n">
        <x:v>76</x:v>
      </x:c>
      <x:c r="BD213" s="12" t="str">
        <x:f>IF(BB213&lt;BC213,"↑",IF(BB213&gt;BC213,"↓","→"))</x:f>
        <x:v>↑</x:v>
      </x:c>
      <x:c r="BE213" s="23" t="str">
        <x:v>Fantasy Football Brief ROS baseline; official NFL schedule</x:v>
      </x:c>
      <x:c r="BF213" s="23" t="str">
        <x:v>Current role and availability baseline; all adjustment factors shown numerically</x:v>
      </x:c>
      <x:c r="BG213" s="23" t="str">
        <x:v>Material injury, depth-chart, or role change</x:v>
      </x:c>
      <x:c r="BH213" s="24" t="str">
        <x:v>2026-09-23 10:35 CT</x:v>
      </x:c>
    </x:row>
    <x:row r="214">
      <x:c r="A214" s="12" t="str">
        <x:v>Germie Bernard</x:v>
      </x:c>
      <x:c r="B214" s="12" t="str">
        <x:v>PIT</x:v>
      </x:c>
      <x:c r="C214" s="12" t="str">
        <x:v>WR</x:v>
      </x:c>
      <x:c r="D214" s="12" t="str">
        <x:v>CIN</x:v>
      </x:c>
      <x:c r="E214" s="12" t="str">
        <x:v>Home</x:v>
      </x:c>
      <x:c r="F214" s="12" t="str">
        <x:v>2026-09-27</x:v>
      </x:c>
      <x:c r="G214" s="19" t="n">
        <x:v>1</x:v>
      </x:c>
      <x:c r="H214" s="20" t="str">
        <x:v>ACTIVE</x:v>
      </x:c>
      <x:c r="I214" s="20" t="n">
        <x:v>52</x:v>
      </x:c>
      <x:c r="J214" s="20" t="str">
        <x:v>Routes</x:v>
      </x:c>
      <x:c r="K214" s="20" t="n">
        <x:v>11.980676328502415</x:v>
      </x:c>
      <x:c r="L214" s="21" t="n">
        <x:v>0</x:v>
      </x:c>
      <x:c r="M214" s="21" t="n">
        <x:v>0</x:v>
      </x:c>
      <x:c r="N214" s="21" t="n">
        <x:v>0</x:v>
      </x:c>
      <x:c r="O214" s="21" t="n">
        <x:v>0</x:v>
      </x:c>
      <x:c r="P214" s="21" t="n">
        <x:v>0</x:v>
      </x:c>
      <x:c r="Q214" s="21" t="n">
        <x:v>0.07729468599033817</x:v>
      </x:c>
      <x:c r="R214" s="21" t="n">
        <x:v>0.7652173913043478</x:v>
      </x:c>
      <x:c r="S214" s="21" t="n">
        <x:v>0</x:v>
      </x:c>
      <x:c r="T214" s="21" t="n">
        <x:v>0</x:v>
      </x:c>
      <x:c r="U214" s="21" t="n">
        <x:v>0</x:v>
      </x:c>
      <x:c r="V214" s="21" t="n">
        <x:v>0</x:v>
      </x:c>
      <x:c r="W214" s="21" t="n">
        <x:v>2.7053140096618358</x:v>
      </x:c>
      <x:c r="X214" s="21" t="n">
        <x:v>1.7391304347826086</x:v>
      </x:c>
      <x:c r="Y214" s="21" t="n">
        <x:v>22.191304347826087</x:v>
      </x:c>
      <x:c r="Z214" s="21" t="n">
        <x:v>0.13391304347826086</x:v>
      </x:c>
      <x:c r="AA214" s="21" t="n">
        <x:v>11.980676328502415</x:v>
      </x:c>
      <x:c r="AB214" s="21" t="n">
        <x:v>0.78</x:v>
      </x:c>
      <x:c r="AC214" s="21" t="n">
        <x:v>0</x:v>
      </x:c>
      <x:c r="AD214" s="21" t="n">
        <x:v>0</x:v>
      </x:c>
      <x:c r="AE214" s="21" t="n">
        <x:v>0</x:v>
      </x:c>
      <x:c r="AF214" s="21" t="n">
        <x:v>0</x:v>
      </x:c>
      <x:c r="AG214" s="21" t="n">
        <x:v>0</x:v>
      </x:c>
      <x:c r="AH214" s="21" t="n">
        <x:v>0</x:v>
      </x:c>
      <x:c r="AI214" s="21" t="n">
        <x:v>0</x:v>
      </x:c>
      <x:c r="AJ214" s="21" t="n">
        <x:v>0</x:v>
      </x:c>
      <x:c r="AK214" s="21" t="n">
        <x:v>0</x:v>
      </x:c>
      <x:c r="AL214" s="21" t="n">
        <x:v>0</x:v>
      </x:c>
      <x:c r="AM214" s="21" t="n">
        <x:v>1</x:v>
      </x:c>
      <x:c r="AN214" s="21" t="n">
        <x:v>1</x:v>
      </x:c>
      <x:c r="AO214" s="21" t="n">
        <x:v>1</x:v>
      </x:c>
      <x:c r="AP214" s="21" t="n">
        <x:v>0.99</x:v>
      </x:c>
      <x:c r="AQ214" s="21" t="n">
        <x:v>1</x:v>
      </x:c>
      <x:c r="AR214" s="21" t="n">
        <x:v>1</x:v>
      </x:c>
      <x:c r="AS214" s="21" t="n">
        <x:v>1</x:v>
      </x:c>
      <x:c r="AT214" s="21" t="n">
        <x:v>1</x:v>
      </x:c>
      <x:c r="AU214" s="21" t="n">
        <x:v>0</x:v>
      </x:c>
      <x:c r="AV214" s="22" t="n">
        <x:f>IF(C214="QB",N214*0.04+O214*4-P214*2+R214*0.1+S214*6,IF(OR(C214="RB",C214="WR",C214="TE"),U214*0.1+V214*6+R214*0.1+S214*6+X214*0.5+Y214*0.1+Z214*6,IF(C214="K",AC214*3+AD214*4+AE214*5+AF214,IF(C214="DST",AG214+AH214*2+AI214*6+AL214,0))))</x:f>
        <x:v>3.9686956521739134</x:v>
      </x:c>
      <x:c r="AW214" s="22" t="n">
        <x:f>(AV214+AU214)*G214</x:f>
        <x:v>3.9686956521739134</x:v>
      </x:c>
      <x:c r="AX214" s="22" t="n">
        <x:f>MAX(0,AW214*IF(C214="QB",0.68,IF(C214="RB",0.58,IF(C214="WR",0.52,IF(C214="TE",0.50,IF(C214="K",0.55,0.40))))))</x:f>
        <x:v>2.063721739130435</x:v>
      </x:c>
      <x:c r="AY214" s="22" t="n">
        <x:f>AW214*IF(C214="QB",1.32,IF(C214="RB",1.45,IF(C214="WR",1.55,IF(C214="TE",1.60,IF(C214="K",1.45,1.65)))))</x:f>
        <x:v>6.151478260869566</x:v>
      </x:c>
      <x:c r="AZ214" s="12" t="str">
        <x:v>High</x:v>
      </x:c>
      <x:c r="BA214" s="12" t="n">
        <x:v>7</x:v>
      </x:c>
      <x:c r="BB214" s="12" t="n">
        <x:f>COUNTIFS($C$2:$C$344,C214,$AW$2:$AW$344,"&gt;"&amp;AW214,$G$2:$G$344,"&gt;0")+COUNTIFS($C$2:C214,C214,$AW$2:AW214,AW214,$G$2:G214,"&gt;0")</x:f>
        <x:v>76</x:v>
      </x:c>
      <x:c r="BC214" s="12" t="n">
        <x:v>77</x:v>
      </x:c>
      <x:c r="BD214" s="12" t="str">
        <x:f>IF(BB214&lt;BC214,"↑",IF(BB214&gt;BC214,"↓","→"))</x:f>
        <x:v>↑</x:v>
      </x:c>
      <x:c r="BE214" s="23" t="str">
        <x:v>Fantasy Football Brief ROS baseline; official NFL schedule</x:v>
      </x:c>
      <x:c r="BF214" s="23" t="str">
        <x:v>Current role and availability baseline; all adjustment factors shown numerically</x:v>
      </x:c>
      <x:c r="BG214" s="23" t="str">
        <x:v>Material injury, depth-chart, or role change</x:v>
      </x:c>
      <x:c r="BH214" s="24" t="str">
        <x:v>2026-09-23 10:35 CT</x:v>
      </x:c>
    </x:row>
    <x:row r="215">
      <x:c r="A215" s="12" t="str">
        <x:v>Malik Washington</x:v>
      </x:c>
      <x:c r="B215" s="12" t="str">
        <x:v>MIA</x:v>
      </x:c>
      <x:c r="C215" s="12" t="str">
        <x:v>WR</x:v>
      </x:c>
      <x:c r="D215" s="12" t="str">
        <x:v>KC</x:v>
      </x:c>
      <x:c r="E215" s="12" t="str">
        <x:v>Home</x:v>
      </x:c>
      <x:c r="F215" s="12" t="str">
        <x:v>2026-09-27</x:v>
      </x:c>
      <x:c r="G215" s="19" t="n">
        <x:v>1</x:v>
      </x:c>
      <x:c r="H215" s="20" t="str">
        <x:v>ACTIVE</x:v>
      </x:c>
      <x:c r="I215" s="20" t="n">
        <x:v>52</x:v>
      </x:c>
      <x:c r="J215" s="20" t="str">
        <x:v>Routes</x:v>
      </x:c>
      <x:c r="K215" s="20" t="n">
        <x:v>12.579710144927537</x:v>
      </x:c>
      <x:c r="L215" s="21" t="n">
        <x:v>0</x:v>
      </x:c>
      <x:c r="M215" s="21" t="n">
        <x:v>0</x:v>
      </x:c>
      <x:c r="N215" s="21" t="n">
        <x:v>0</x:v>
      </x:c>
      <x:c r="O215" s="21" t="n">
        <x:v>0</x:v>
      </x:c>
      <x:c r="P215" s="21" t="n">
        <x:v>0</x:v>
      </x:c>
      <x:c r="Q215" s="21" t="n">
        <x:v>0.08115942028985508</x:v>
      </x:c>
      <x:c r="R215" s="21" t="n">
        <x:v>0.7478840579710145</x:v>
      </x:c>
      <x:c r="S215" s="21" t="n">
        <x:v>0</x:v>
      </x:c>
      <x:c r="T215" s="21" t="n">
        <x:v>0</x:v>
      </x:c>
      <x:c r="U215" s="21" t="n">
        <x:v>0</x:v>
      </x:c>
      <x:c r="V215" s="21" t="n">
        <x:v>0</x:v>
      </x:c>
      <x:c r="W215" s="21" t="n">
        <x:v>2.8405797101449277</x:v>
      </x:c>
      <x:c r="X215" s="21" t="n">
        <x:v>1.8260869565217392</x:v>
      </x:c>
      <x:c r="Y215" s="21" t="n">
        <x:v>21.68863768115942</x:v>
      </x:c>
      <x:c r="Z215" s="21" t="n">
        <x:v>0.13087971014492752</x:v>
      </x:c>
      <x:c r="AA215" s="21" t="n">
        <x:v>12.579710144927537</x:v>
      </x:c>
      <x:c r="AB215" s="21" t="n">
        <x:v>0.78</x:v>
      </x:c>
      <x:c r="AC215" s="21" t="n">
        <x:v>0</x:v>
      </x:c>
      <x:c r="AD215" s="21" t="n">
        <x:v>0</x:v>
      </x:c>
      <x:c r="AE215" s="21" t="n">
        <x:v>0</x:v>
      </x:c>
      <x:c r="AF215" s="21" t="n">
        <x:v>0</x:v>
      </x:c>
      <x:c r="AG215" s="21" t="n">
        <x:v>0</x:v>
      </x:c>
      <x:c r="AH215" s="21" t="n">
        <x:v>0</x:v>
      </x:c>
      <x:c r="AI215" s="21" t="n">
        <x:v>0</x:v>
      </x:c>
      <x:c r="AJ215" s="21" t="n">
        <x:v>0</x:v>
      </x:c>
      <x:c r="AK215" s="21" t="n">
        <x:v>0</x:v>
      </x:c>
      <x:c r="AL215" s="21" t="n">
        <x:v>0</x:v>
      </x:c>
      <x:c r="AM215" s="21" t="n">
        <x:v>1</x:v>
      </x:c>
      <x:c r="AN215" s="21" t="n">
        <x:v>1</x:v>
      </x:c>
      <x:c r="AO215" s="21" t="n">
        <x:v>1</x:v>
      </x:c>
      <x:c r="AP215" s="21" t="n">
        <x:v>0.97</x:v>
      </x:c>
      <x:c r="AQ215" s="21" t="n">
        <x:v>0.95</x:v>
      </x:c>
      <x:c r="AR215" s="21" t="n">
        <x:v>1</x:v>
      </x:c>
      <x:c r="AS215" s="21" t="n">
        <x:v>1</x:v>
      </x:c>
      <x:c r="AT215" s="21" t="n">
        <x:v>1</x:v>
      </x:c>
      <x:c r="AU215" s="21" t="n">
        <x:v>0</x:v>
      </x:c>
      <x:c r="AV215" s="22" t="n">
        <x:f>IF(C215="QB",N215*0.04+O215*4-P215*2+R215*0.1+S215*6,IF(OR(C215="RB",C215="WR",C215="TE"),U215*0.1+V215*6+R215*0.1+S215*6+X215*0.5+Y215*0.1+Z215*6,IF(C215="K",AC215*3+AD215*4+AE215*5+AF215,IF(C215="DST",AG215+AH215*2+AI215*6+AL215,0))))</x:f>
        <x:v>3.941973913043478</x:v>
      </x:c>
      <x:c r="AW215" s="22" t="n">
        <x:f>(AV215+AU215)*G215</x:f>
        <x:v>3.941973913043478</x:v>
      </x:c>
      <x:c r="AX215" s="22" t="n">
        <x:f>MAX(0,AW215*IF(C215="QB",0.68,IF(C215="RB",0.58,IF(C215="WR",0.52,IF(C215="TE",0.50,IF(C215="K",0.55,0.40))))))</x:f>
        <x:v>2.0498264347826085</x:v>
      </x:c>
      <x:c r="AY215" s="22" t="n">
        <x:f>AW215*IF(C215="QB",1.32,IF(C215="RB",1.45,IF(C215="WR",1.55,IF(C215="TE",1.60,IF(C215="K",1.45,1.65)))))</x:f>
        <x:v>6.110059565217391</x:v>
      </x:c>
      <x:c r="AZ215" s="12" t="str">
        <x:v>High</x:v>
      </x:c>
      <x:c r="BA215" s="12" t="n">
        <x:v>7</x:v>
      </x:c>
      <x:c r="BB215" s="12" t="n">
        <x:f>COUNTIFS($C$2:$C$344,C215,$AW$2:$AW$344,"&gt;"&amp;AW215,$G$2:$G$344,"&gt;0")+COUNTIFS($C$2:C215,C215,$AW$2:AW215,AW215,$G$2:G215,"&gt;0")</x:f>
        <x:v>77</x:v>
      </x:c>
      <x:c r="BC215" s="12" t="n">
        <x:v>78</x:v>
      </x:c>
      <x:c r="BD215" s="12" t="str">
        <x:f>IF(BB215&lt;BC215,"↑",IF(BB215&gt;BC215,"↓","→"))</x:f>
        <x:v>↑</x:v>
      </x:c>
      <x:c r="BE215" s="23" t="str">
        <x:v>Fantasy Football Brief ROS baseline; official NFL schedule</x:v>
      </x:c>
      <x:c r="BF215" s="23" t="str">
        <x:v>Current role and availability baseline; all adjustment factors shown numerically</x:v>
      </x:c>
      <x:c r="BG215" s="23" t="str">
        <x:v>Material injury, depth-chart, or role change</x:v>
      </x:c>
      <x:c r="BH215" s="24" t="str">
        <x:v>2026-09-23 10:35 CT</x:v>
      </x:c>
    </x:row>
    <x:row r="216">
      <x:c r="A216" s="12" t="str">
        <x:v>Tyquan Thornton</x:v>
      </x:c>
      <x:c r="B216" s="12" t="str">
        <x:v>KC</x:v>
      </x:c>
      <x:c r="C216" s="12" t="str">
        <x:v>WR</x:v>
      </x:c>
      <x:c r="D216" s="12" t="str">
        <x:v>MIA</x:v>
      </x:c>
      <x:c r="E216" s="12" t="str">
        <x:v>Away</x:v>
      </x:c>
      <x:c r="F216" s="12" t="str">
        <x:v>2026-09-27</x:v>
      </x:c>
      <x:c r="G216" s="19" t="n">
        <x:v>1</x:v>
      </x:c>
      <x:c r="H216" s="20" t="str">
        <x:v>ACTIVE</x:v>
      </x:c>
      <x:c r="I216" s="20" t="n">
        <x:v>52</x:v>
      </x:c>
      <x:c r="J216" s="20" t="str">
        <x:v>Routes</x:v>
      </x:c>
      <x:c r="K216" s="20" t="n">
        <x:v>11.082125603864736</x:v>
      </x:c>
      <x:c r="L216" s="21" t="n">
        <x:v>0</x:v>
      </x:c>
      <x:c r="M216" s="21" t="n">
        <x:v>0</x:v>
      </x:c>
      <x:c r="N216" s="21" t="n">
        <x:v>0</x:v>
      </x:c>
      <x:c r="O216" s="21" t="n">
        <x:v>0</x:v>
      </x:c>
      <x:c r="P216" s="21" t="n">
        <x:v>0</x:v>
      </x:c>
      <x:c r="Q216" s="21" t="n">
        <x:v>0.07149758454106281</x:v>
      </x:c>
      <x:c r="R216" s="21" t="n">
        <x:v>0.7585178743961353</x:v>
      </x:c>
      <x:c r="S216" s="21" t="n">
        <x:v>0</x:v>
      </x:c>
      <x:c r="T216" s="21" t="n">
        <x:v>0</x:v>
      </x:c>
      <x:c r="U216" s="21" t="n">
        <x:v>0</x:v>
      </x:c>
      <x:c r="V216" s="21" t="n">
        <x:v>0</x:v>
      </x:c>
      <x:c r="W216" s="21" t="n">
        <x:v>2.5024154589371985</x:v>
      </x:c>
      <x:c r="X216" s="21" t="n">
        <x:v>1.608695652173913</x:v>
      </x:c>
      <x:c r="Y216" s="21" t="n">
        <x:v>21.997018357487924</x:v>
      </x:c>
      <x:c r="Z216" s="21" t="n">
        <x:v>0.13274062801932368</x:v>
      </x:c>
      <x:c r="AA216" s="21" t="n">
        <x:v>11.082125603864736</x:v>
      </x:c>
      <x:c r="AB216" s="21" t="n">
        <x:v>0.78</x:v>
      </x:c>
      <x:c r="AC216" s="21" t="n">
        <x:v>0</x:v>
      </x:c>
      <x:c r="AD216" s="21" t="n">
        <x:v>0</x:v>
      </x:c>
      <x:c r="AE216" s="21" t="n">
        <x:v>0</x:v>
      </x:c>
      <x:c r="AF216" s="21" t="n">
        <x:v>0</x:v>
      </x:c>
      <x:c r="AG216" s="21" t="n">
        <x:v>0</x:v>
      </x:c>
      <x:c r="AH216" s="21" t="n">
        <x:v>0</x:v>
      </x:c>
      <x:c r="AI216" s="21" t="n">
        <x:v>0</x:v>
      </x:c>
      <x:c r="AJ216" s="21" t="n">
        <x:v>0</x:v>
      </x:c>
      <x:c r="AK216" s="21" t="n">
        <x:v>0</x:v>
      </x:c>
      <x:c r="AL216" s="21" t="n">
        <x:v>0</x:v>
      </x:c>
      <x:c r="AM216" s="21" t="n">
        <x:v>1</x:v>
      </x:c>
      <x:c r="AN216" s="21" t="n">
        <x:v>1</x:v>
      </x:c>
      <x:c r="AO216" s="21" t="n">
        <x:v>1</x:v>
      </x:c>
      <x:c r="AP216" s="21" t="n">
        <x:v>1.03</x:v>
      </x:c>
      <x:c r="AQ216" s="21" t="n">
        <x:v>1.03</x:v>
      </x:c>
      <x:c r="AR216" s="21" t="n">
        <x:v>1</x:v>
      </x:c>
      <x:c r="AS216" s="21" t="n">
        <x:v>1</x:v>
      </x:c>
      <x:c r="AT216" s="21" t="n">
        <x:v>1</x:v>
      </x:c>
      <x:c r="AU216" s="21" t="n">
        <x:v>0</x:v>
      </x:c>
      <x:c r="AV216" s="22" t="n">
        <x:f>IF(C216="QB",N216*0.04+O216*4-P216*2+R216*0.1+S216*6,IF(OR(C216="RB",C216="WR",C216="TE"),U216*0.1+V216*6+R216*0.1+S216*6+X216*0.5+Y216*0.1+Z216*6,IF(C216="K",AC216*3+AD216*4+AE216*5+AF216,IF(C216="DST",AG216+AH216*2+AI216*6+AL216,0))))</x:f>
        <x:v>3.8763452173913047</x:v>
      </x:c>
      <x:c r="AW216" s="22" t="n">
        <x:f>(AV216+AU216)*G216</x:f>
        <x:v>3.8763452173913047</x:v>
      </x:c>
      <x:c r="AX216" s="22" t="n">
        <x:f>MAX(0,AW216*IF(C216="QB",0.68,IF(C216="RB",0.58,IF(C216="WR",0.52,IF(C216="TE",0.50,IF(C216="K",0.55,0.40))))))</x:f>
        <x:v>2.0156995130434785</x:v>
      </x:c>
      <x:c r="AY216" s="22" t="n">
        <x:f>AW216*IF(C216="QB",1.32,IF(C216="RB",1.45,IF(C216="WR",1.55,IF(C216="TE",1.60,IF(C216="K",1.45,1.65)))))</x:f>
        <x:v>6.008335086956523</x:v>
      </x:c>
      <x:c r="AZ216" s="12" t="str">
        <x:v>High</x:v>
      </x:c>
      <x:c r="BA216" s="12" t="n">
        <x:v>7</x:v>
      </x:c>
      <x:c r="BB216" s="12" t="n">
        <x:f>COUNTIFS($C$2:$C$344,C216,$AW$2:$AW$344,"&gt;"&amp;AW216,$G$2:$G$344,"&gt;0")+COUNTIFS($C$2:C216,C216,$AW$2:AW216,AW216,$G$2:G216,"&gt;0")</x:f>
        <x:v>78</x:v>
      </x:c>
      <x:c r="BC216" s="12" t="n">
        <x:v>79</x:v>
      </x:c>
      <x:c r="BD216" s="12" t="str">
        <x:f>IF(BB216&lt;BC216,"↑",IF(BB216&gt;BC216,"↓","→"))</x:f>
        <x:v>↑</x:v>
      </x:c>
      <x:c r="BE216" s="23" t="str">
        <x:v>Fantasy Football Brief ROS baseline; official NFL schedule</x:v>
      </x:c>
      <x:c r="BF216" s="23" t="str">
        <x:v>Current role and availability baseline; all adjustment factors shown numerically</x:v>
      </x:c>
      <x:c r="BG216" s="23" t="str">
        <x:v>Material injury, depth-chart, or role change</x:v>
      </x:c>
      <x:c r="BH216" s="24" t="str">
        <x:v>2026-09-23 10:35 CT</x:v>
      </x:c>
    </x:row>
    <x:row r="217">
      <x:c r="A217" s="12" t="str">
        <x:v>Christian Kirk</x:v>
      </x:c>
      <x:c r="B217" s="12" t="str">
        <x:v>SF</x:v>
      </x:c>
      <x:c r="C217" s="12" t="str">
        <x:v>WR</x:v>
      </x:c>
      <x:c r="D217" s="12" t="str">
        <x:v>ARI</x:v>
      </x:c>
      <x:c r="E217" s="12" t="str">
        <x:v>Home</x:v>
      </x:c>
      <x:c r="F217" s="12" t="str">
        <x:v>2026-09-27</x:v>
      </x:c>
      <x:c r="G217" s="19" t="n">
        <x:v>1</x:v>
      </x:c>
      <x:c r="H217" s="20" t="str">
        <x:v>ACTIVE</x:v>
      </x:c>
      <x:c r="I217" s="20" t="n">
        <x:v>52</x:v>
      </x:c>
      <x:c r="J217" s="20" t="str">
        <x:v>Routes</x:v>
      </x:c>
      <x:c r="K217" s="20" t="n">
        <x:v>11.381642512077295</x:v>
      </x:c>
      <x:c r="L217" s="21" t="n">
        <x:v>0</x:v>
      </x:c>
      <x:c r="M217" s="21" t="n">
        <x:v>0</x:v>
      </x:c>
      <x:c r="N217" s="21" t="n">
        <x:v>0</x:v>
      </x:c>
      <x:c r="O217" s="21" t="n">
        <x:v>0</x:v>
      </x:c>
      <x:c r="P217" s="21" t="n">
        <x:v>0</x:v>
      </x:c>
      <x:c r="Q217" s="21" t="n">
        <x:v>0.07342995169082127</x:v>
      </x:c>
      <x:c r="R217" s="21" t="n">
        <x:v>0.7489855072463769</x:v>
      </x:c>
      <x:c r="S217" s="21" t="n">
        <x:v>0</x:v>
      </x:c>
      <x:c r="T217" s="21" t="n">
        <x:v>0</x:v>
      </x:c>
      <x:c r="U217" s="21" t="n">
        <x:v>0</x:v>
      </x:c>
      <x:c r="V217" s="21" t="n">
        <x:v>0</x:v>
      </x:c>
      <x:c r="W217" s="21" t="n">
        <x:v>2.5700483091787443</x:v>
      </x:c>
      <x:c r="X217" s="21" t="n">
        <x:v>1.6521739130434783</x:v>
      </x:c>
      <x:c r="Y217" s="21" t="n">
        <x:v>21.72057971014493</x:v>
      </x:c>
      <x:c r="Z217" s="21" t="n">
        <x:v>0.13107246376811596</x:v>
      </x:c>
      <x:c r="AA217" s="21" t="n">
        <x:v>11.381642512077295</x:v>
      </x:c>
      <x:c r="AB217" s="21" t="n">
        <x:v>0.78</x:v>
      </x:c>
      <x:c r="AC217" s="21" t="n">
        <x:v>0</x:v>
      </x:c>
      <x:c r="AD217" s="21" t="n">
        <x:v>0</x:v>
      </x:c>
      <x:c r="AE217" s="21" t="n">
        <x:v>0</x:v>
      </x:c>
      <x:c r="AF217" s="21" t="n">
        <x:v>0</x:v>
      </x:c>
      <x:c r="AG217" s="21" t="n">
        <x:v>0</x:v>
      </x:c>
      <x:c r="AH217" s="21" t="n">
        <x:v>0</x:v>
      </x:c>
      <x:c r="AI217" s="21" t="n">
        <x:v>0</x:v>
      </x:c>
      <x:c r="AJ217" s="21" t="n">
        <x:v>0</x:v>
      </x:c>
      <x:c r="AK217" s="21" t="n">
        <x:v>0</x:v>
      </x:c>
      <x:c r="AL217" s="21" t="n">
        <x:v>0</x:v>
      </x:c>
      <x:c r="AM217" s="21" t="n">
        <x:v>1</x:v>
      </x:c>
      <x:c r="AN217" s="21" t="n">
        <x:v>1</x:v>
      </x:c>
      <x:c r="AO217" s="21" t="n">
        <x:v>1</x:v>
      </x:c>
      <x:c r="AP217" s="21" t="n">
        <x:v>1.02</x:v>
      </x:c>
      <x:c r="AQ217" s="21" t="n">
        <x:v>1</x:v>
      </x:c>
      <x:c r="AR217" s="21" t="n">
        <x:v>1</x:v>
      </x:c>
      <x:c r="AS217" s="21" t="n">
        <x:v>1</x:v>
      </x:c>
      <x:c r="AT217" s="21" t="n">
        <x:v>1</x:v>
      </x:c>
      <x:c r="AU217" s="21" t="n">
        <x:v>0</x:v>
      </x:c>
      <x:c r="AV217" s="22" t="n">
        <x:f>IF(C217="QB",N217*0.04+O217*4-P217*2+R217*0.1+S217*6,IF(OR(C217="RB",C217="WR",C217="TE"),U217*0.1+V217*6+R217*0.1+S217*6+X217*0.5+Y217*0.1+Z217*6,IF(C217="K",AC217*3+AD217*4+AE217*5+AF217,IF(C217="DST",AG217+AH217*2+AI217*6+AL217,0))))</x:f>
        <x:v>3.8594782608695652</x:v>
      </x:c>
      <x:c r="AW217" s="22" t="n">
        <x:f>(AV217+AU217)*G217</x:f>
        <x:v>3.8594782608695652</x:v>
      </x:c>
      <x:c r="AX217" s="22" t="n">
        <x:f>MAX(0,AW217*IF(C217="QB",0.68,IF(C217="RB",0.58,IF(C217="WR",0.52,IF(C217="TE",0.50,IF(C217="K",0.55,0.40))))))</x:f>
        <x:v>2.006928695652174</x:v>
      </x:c>
      <x:c r="AY217" s="22" t="n">
        <x:f>AW217*IF(C217="QB",1.32,IF(C217="RB",1.45,IF(C217="WR",1.55,IF(C217="TE",1.60,IF(C217="K",1.45,1.65)))))</x:f>
        <x:v>5.982191304347826</x:v>
      </x:c>
      <x:c r="AZ217" s="12" t="str">
        <x:v>High</x:v>
      </x:c>
      <x:c r="BA217" s="12" t="n">
        <x:v>7</x:v>
      </x:c>
      <x:c r="BB217" s="12" t="n">
        <x:f>COUNTIFS($C$2:$C$344,C217,$AW$2:$AW$344,"&gt;"&amp;AW217,$G$2:$G$344,"&gt;0")+COUNTIFS($C$2:C217,C217,$AW$2:AW217,AW217,$G$2:G217,"&gt;0")</x:f>
        <x:v>79</x:v>
      </x:c>
      <x:c r="BC217" s="12" t="n">
        <x:v>80</x:v>
      </x:c>
      <x:c r="BD217" s="12" t="str">
        <x:f>IF(BB217&lt;BC217,"↑",IF(BB217&gt;BC217,"↓","→"))</x:f>
        <x:v>↑</x:v>
      </x:c>
      <x:c r="BE217" s="23" t="str">
        <x:v>Fantasy Football Brief ROS baseline; official NFL schedule</x:v>
      </x:c>
      <x:c r="BF217" s="23" t="str">
        <x:v>Current role and availability baseline; all adjustment factors shown numerically</x:v>
      </x:c>
      <x:c r="BG217" s="23" t="str">
        <x:v>Material injury, depth-chart, or role change</x:v>
      </x:c>
      <x:c r="BH217" s="24" t="str">
        <x:v>2026-09-23 10:35 CT</x:v>
      </x:c>
    </x:row>
    <x:row r="218">
      <x:c r="A218" s="12" t="str">
        <x:v>Cooper Kupp</x:v>
      </x:c>
      <x:c r="B218" s="12" t="str">
        <x:v>SEA</x:v>
      </x:c>
      <x:c r="C218" s="12" t="str">
        <x:v>WR</x:v>
      </x:c>
      <x:c r="D218" s="12" t="str">
        <x:v>WAS</x:v>
      </x:c>
      <x:c r="E218" s="12" t="str">
        <x:v>Away</x:v>
      </x:c>
      <x:c r="F218" s="12" t="str">
        <x:v>2026-09-27</x:v>
      </x:c>
      <x:c r="G218" s="19" t="n">
        <x:v>1</x:v>
      </x:c>
      <x:c r="H218" s="20" t="str">
        <x:v>ACTIVE</x:v>
      </x:c>
      <x:c r="I218" s="20" t="n">
        <x:v>52</x:v>
      </x:c>
      <x:c r="J218" s="20" t="str">
        <x:v>Routes</x:v>
      </x:c>
      <x:c r="K218" s="20" t="n">
        <x:v>11.082125603864736</x:v>
      </x:c>
      <x:c r="L218" s="21" t="n">
        <x:v>0</x:v>
      </x:c>
      <x:c r="M218" s="21" t="n">
        <x:v>0</x:v>
      </x:c>
      <x:c r="N218" s="21" t="n">
        <x:v>0</x:v>
      </x:c>
      <x:c r="O218" s="21" t="n">
        <x:v>0</x:v>
      </x:c>
      <x:c r="P218" s="21" t="n">
        <x:v>0</x:v>
      </x:c>
      <x:c r="Q218" s="21" t="n">
        <x:v>0.07149758454106281</x:v>
      </x:c>
      <x:c r="R218" s="21" t="n">
        <x:v>0.736425120772947</x:v>
      </x:c>
      <x:c r="S218" s="21" t="n">
        <x:v>0</x:v>
      </x:c>
      <x:c r="T218" s="21" t="n">
        <x:v>0</x:v>
      </x:c>
      <x:c r="U218" s="21" t="n">
        <x:v>0</x:v>
      </x:c>
      <x:c r="V218" s="21" t="n">
        <x:v>0</x:v>
      </x:c>
      <x:c r="W218" s="21" t="n">
        <x:v>2.5024154589371985</x:v>
      </x:c>
      <x:c r="X218" s="21" t="n">
        <x:v>1.608695652173913</x:v>
      </x:c>
      <x:c r="Y218" s="21" t="n">
        <x:v>21.35632850241546</x:v>
      </x:c>
      <x:c r="Z218" s="21" t="n">
        <x:v>0.12887439613526572</x:v>
      </x:c>
      <x:c r="AA218" s="21" t="n">
        <x:v>11.082125603864736</x:v>
      </x:c>
      <x:c r="AB218" s="21" t="n">
        <x:v>0.78</x:v>
      </x:c>
      <x:c r="AC218" s="21" t="n">
        <x:v>0</x:v>
      </x:c>
      <x:c r="AD218" s="21" t="n">
        <x:v>0</x:v>
      </x:c>
      <x:c r="AE218" s="21" t="n">
        <x:v>0</x:v>
      </x:c>
      <x:c r="AF218" s="21" t="n">
        <x:v>0</x:v>
      </x:c>
      <x:c r="AG218" s="21" t="n">
        <x:v>0</x:v>
      </x:c>
      <x:c r="AH218" s="21" t="n">
        <x:v>0</x:v>
      </x:c>
      <x:c r="AI218" s="21" t="n">
        <x:v>0</x:v>
      </x:c>
      <x:c r="AJ218" s="21" t="n">
        <x:v>0</x:v>
      </x:c>
      <x:c r="AK218" s="21" t="n">
        <x:v>0</x:v>
      </x:c>
      <x:c r="AL218" s="21" t="n">
        <x:v>0</x:v>
      </x:c>
      <x:c r="AM218" s="21" t="n">
        <x:v>1</x:v>
      </x:c>
      <x:c r="AN218" s="21" t="n">
        <x:v>1</x:v>
      </x:c>
      <x:c r="AO218" s="21" t="n">
        <x:v>1</x:v>
      </x:c>
      <x:c r="AP218" s="21" t="n">
        <x:v>1</x:v>
      </x:c>
      <x:c r="AQ218" s="21" t="n">
        <x:v>1.03</x:v>
      </x:c>
      <x:c r="AR218" s="21" t="n">
        <x:v>1</x:v>
      </x:c>
      <x:c r="AS218" s="21" t="n">
        <x:v>1</x:v>
      </x:c>
      <x:c r="AT218" s="21" t="n">
        <x:v>1</x:v>
      </x:c>
      <x:c r="AU218" s="21" t="n">
        <x:v>0</x:v>
      </x:c>
      <x:c r="AV218" s="22" t="n">
        <x:f>IF(C218="QB",N218*0.04+O218*4-P218*2+R218*0.1+S218*6,IF(OR(C218="RB",C218="WR",C218="TE"),U218*0.1+V218*6+R218*0.1+S218*6+X218*0.5+Y218*0.1+Z218*6,IF(C218="K",AC218*3+AD218*4+AE218*5+AF218,IF(C218="DST",AG218+AH218*2+AI218*6+AL218,0))))</x:f>
        <x:v>3.786869565217392</x:v>
      </x:c>
      <x:c r="AW218" s="22" t="n">
        <x:f>(AV218+AU218)*G218</x:f>
        <x:v>3.786869565217392</x:v>
      </x:c>
      <x:c r="AX218" s="22" t="n">
        <x:f>MAX(0,AW218*IF(C218="QB",0.68,IF(C218="RB",0.58,IF(C218="WR",0.52,IF(C218="TE",0.50,IF(C218="K",0.55,0.40))))))</x:f>
        <x:v>1.9691721739130439</x:v>
      </x:c>
      <x:c r="AY218" s="22" t="n">
        <x:f>AW218*IF(C218="QB",1.32,IF(C218="RB",1.45,IF(C218="WR",1.55,IF(C218="TE",1.60,IF(C218="K",1.45,1.65)))))</x:f>
        <x:v>5.869647826086958</x:v>
      </x:c>
      <x:c r="AZ218" s="12" t="str">
        <x:v>High</x:v>
      </x:c>
      <x:c r="BA218" s="12" t="n">
        <x:v>7</x:v>
      </x:c>
      <x:c r="BB218" s="12" t="n">
        <x:f>COUNTIFS($C$2:$C$344,C218,$AW$2:$AW$344,"&gt;"&amp;AW218,$G$2:$G$344,"&gt;0")+COUNTIFS($C$2:C218,C218,$AW$2:AW218,AW218,$G$2:G218,"&gt;0")</x:f>
        <x:v>81</x:v>
      </x:c>
      <x:c r="BC218" s="12" t="n">
        <x:v>81</x:v>
      </x:c>
      <x:c r="BD218" s="12" t="str">
        <x:f>IF(BB218&lt;BC218,"↑",IF(BB218&gt;BC218,"↓","→"))</x:f>
        <x:v>→</x:v>
      </x:c>
      <x:c r="BE218" s="23" t="str">
        <x:v>Fantasy Football Brief ROS baseline; official NFL schedule</x:v>
      </x:c>
      <x:c r="BF218" s="23" t="str">
        <x:v>Current role and availability baseline; all adjustment factors shown numerically</x:v>
      </x:c>
      <x:c r="BG218" s="23" t="str">
        <x:v>Material injury, depth-chart, or role change</x:v>
      </x:c>
      <x:c r="BH218" s="24" t="str">
        <x:v>2026-09-23 10:35 CT</x:v>
      </x:c>
    </x:row>
    <x:row r="219">
      <x:c r="A219" s="12" t="str">
        <x:v>Elijah Sarratt</x:v>
      </x:c>
      <x:c r="B219" s="12" t="str">
        <x:v>BAL</x:v>
      </x:c>
      <x:c r="C219" s="12" t="str">
        <x:v>WR</x:v>
      </x:c>
      <x:c r="D219" s="12" t="str">
        <x:v>DAL</x:v>
      </x:c>
      <x:c r="E219" s="12" t="str">
        <x:v>Away</x:v>
      </x:c>
      <x:c r="F219" s="12" t="str">
        <x:v>2026-09-27</x:v>
      </x:c>
      <x:c r="G219" s="19" t="n">
        <x:v>1</x:v>
      </x:c>
      <x:c r="H219" s="20" t="str">
        <x:v>ACTIVE</x:v>
      </x:c>
      <x:c r="I219" s="20" t="n">
        <x:v>52</x:v>
      </x:c>
      <x:c r="J219" s="20" t="str">
        <x:v>Routes</x:v>
      </x:c>
      <x:c r="K219" s="20" t="n">
        <x:v>10.483091787439614</x:v>
      </x:c>
      <x:c r="L219" s="21" t="n">
        <x:v>0</x:v>
      </x:c>
      <x:c r="M219" s="21" t="n">
        <x:v>0</x:v>
      </x:c>
      <x:c r="N219" s="21" t="n">
        <x:v>0</x:v>
      </x:c>
      <x:c r="O219" s="21" t="n">
        <x:v>0</x:v>
      </x:c>
      <x:c r="P219" s="21" t="n">
        <x:v>0</x:v>
      </x:c>
      <x:c r="Q219" s="21" t="n">
        <x:v>0.0676328502415459</x:v>
      </x:c>
      <x:c r="R219" s="21" t="n">
        <x:v>0.7385507246376812</x:v>
      </x:c>
      <x:c r="S219" s="21" t="n">
        <x:v>0</x:v>
      </x:c>
      <x:c r="T219" s="21" t="n">
        <x:v>0</x:v>
      </x:c>
      <x:c r="U219" s="21" t="n">
        <x:v>0</x:v>
      </x:c>
      <x:c r="V219" s="21" t="n">
        <x:v>0</x:v>
      </x:c>
      <x:c r="W219" s="21" t="n">
        <x:v>2.367149758454106</x:v>
      </x:c>
      <x:c r="X219" s="21" t="n">
        <x:v>1.5217391304347827</x:v>
      </x:c>
      <x:c r="Y219" s="21" t="n">
        <x:v>21.417971014492757</x:v>
      </x:c>
      <x:c r="Z219" s="21" t="n">
        <x:v>0.1292463768115942</x:v>
      </x:c>
      <x:c r="AA219" s="21" t="n">
        <x:v>10.483091787439614</x:v>
      </x:c>
      <x:c r="AB219" s="21" t="n">
        <x:v>0.78</x:v>
      </x:c>
      <x:c r="AC219" s="21" t="n">
        <x:v>0</x:v>
      </x:c>
      <x:c r="AD219" s="21" t="n">
        <x:v>0</x:v>
      </x:c>
      <x:c r="AE219" s="21" t="n">
        <x:v>0</x:v>
      </x:c>
      <x:c r="AF219" s="21" t="n">
        <x:v>0</x:v>
      </x:c>
      <x:c r="AG219" s="21" t="n">
        <x:v>0</x:v>
      </x:c>
      <x:c r="AH219" s="21" t="n">
        <x:v>0</x:v>
      </x:c>
      <x:c r="AI219" s="21" t="n">
        <x:v>0</x:v>
      </x:c>
      <x:c r="AJ219" s="21" t="n">
        <x:v>0</x:v>
      </x:c>
      <x:c r="AK219" s="21" t="n">
        <x:v>0</x:v>
      </x:c>
      <x:c r="AL219" s="21" t="n">
        <x:v>0</x:v>
      </x:c>
      <x:c r="AM219" s="21" t="n">
        <x:v>1</x:v>
      </x:c>
      <x:c r="AN219" s="21" t="n">
        <x:v>1</x:v>
      </x:c>
      <x:c r="AO219" s="21" t="n">
        <x:v>1</x:v>
      </x:c>
      <x:c r="AP219" s="21" t="n">
        <x:v>1.04</x:v>
      </x:c>
      <x:c r="AQ219" s="21" t="n">
        <x:v>1.05</x:v>
      </x:c>
      <x:c r="AR219" s="21" t="n">
        <x:v>1</x:v>
      </x:c>
      <x:c r="AS219" s="21" t="n">
        <x:v>1</x:v>
      </x:c>
      <x:c r="AT219" s="21" t="n">
        <x:v>1</x:v>
      </x:c>
      <x:c r="AU219" s="21" t="n">
        <x:v>0</x:v>
      </x:c>
      <x:c r="AV219" s="22" t="n">
        <x:f>IF(C219="QB",N219*0.04+O219*4-P219*2+R219*0.1+S219*6,IF(OR(C219="RB",C219="WR",C219="TE"),U219*0.1+V219*6+R219*0.1+S219*6+X219*0.5+Y219*0.1+Z219*6,IF(C219="K",AC219*3+AD219*4+AE219*5+AF219,IF(C219="DST",AG219+AH219*2+AI219*6+AL219,0))))</x:f>
        <x:v>3.7520000000000002</x:v>
      </x:c>
      <x:c r="AW219" s="22" t="n">
        <x:f>(AV219+AU219)*G219</x:f>
        <x:v>3.7520000000000002</x:v>
      </x:c>
      <x:c r="AX219" s="22" t="n">
        <x:f>MAX(0,AW219*IF(C219="QB",0.68,IF(C219="RB",0.58,IF(C219="WR",0.52,IF(C219="TE",0.50,IF(C219="K",0.55,0.40))))))</x:f>
        <x:v>1.95104</x:v>
      </x:c>
      <x:c r="AY219" s="22" t="n">
        <x:f>AW219*IF(C219="QB",1.32,IF(C219="RB",1.45,IF(C219="WR",1.55,IF(C219="TE",1.60,IF(C219="K",1.45,1.65)))))</x:f>
        <x:v>5.815600000000001</x:v>
      </x:c>
      <x:c r="AZ219" s="12" t="str">
        <x:v>High</x:v>
      </x:c>
      <x:c r="BA219" s="12" t="n">
        <x:v>8</x:v>
      </x:c>
      <x:c r="BB219" s="12" t="n">
        <x:f>COUNTIFS($C$2:$C$344,C219,$AW$2:$AW$344,"&gt;"&amp;AW219,$G$2:$G$344,"&gt;0")+COUNTIFS($C$2:C219,C219,$AW$2:AW219,AW219,$G$2:G219,"&gt;0")</x:f>
        <x:v>82</x:v>
      </x:c>
      <x:c r="BC219" s="12" t="n">
        <x:v>82</x:v>
      </x:c>
      <x:c r="BD219" s="12" t="str">
        <x:f>IF(BB219&lt;BC219,"↑",IF(BB219&gt;BC219,"↓","→"))</x:f>
        <x:v>→</x:v>
      </x:c>
      <x:c r="BE219" s="23" t="str">
        <x:v>Fantasy Football Brief ROS baseline; official NFL schedule</x:v>
      </x:c>
      <x:c r="BF219" s="23" t="str">
        <x:v>Current role and availability baseline; all adjustment factors shown numerically</x:v>
      </x:c>
      <x:c r="BG219" s="23" t="str">
        <x:v>Material injury, depth-chart, or role change</x:v>
      </x:c>
      <x:c r="BH219" s="24" t="str">
        <x:v>2026-09-23 10:35 CT</x:v>
      </x:c>
    </x:row>
    <x:row r="220">
      <x:c r="A220" s="12" t="str">
        <x:v>Troy Franklin</x:v>
      </x:c>
      <x:c r="B220" s="12" t="str">
        <x:v>DEN</x:v>
      </x:c>
      <x:c r="C220" s="12" t="str">
        <x:v>WR</x:v>
      </x:c>
      <x:c r="D220" s="12" t="str">
        <x:v>LAR</x:v>
      </x:c>
      <x:c r="E220" s="12" t="str">
        <x:v>Home</x:v>
      </x:c>
      <x:c r="F220" s="12" t="str">
        <x:v>2026-09-27</x:v>
      </x:c>
      <x:c r="G220" s="19" t="n">
        <x:v>1</x:v>
      </x:c>
      <x:c r="H220" s="20" t="str">
        <x:v>ACTIVE</x:v>
      </x:c>
      <x:c r="I220" s="20" t="n">
        <x:v>52</x:v>
      </x:c>
      <x:c r="J220" s="20" t="str">
        <x:v>Routes</x:v>
      </x:c>
      <x:c r="K220" s="20" t="n">
        <x:v>11.381642512077295</x:v>
      </x:c>
      <x:c r="L220" s="21" t="n">
        <x:v>0</x:v>
      </x:c>
      <x:c r="M220" s="21" t="n">
        <x:v>0</x:v>
      </x:c>
      <x:c r="N220" s="21" t="n">
        <x:v>0</x:v>
      </x:c>
      <x:c r="O220" s="21" t="n">
        <x:v>0</x:v>
      </x:c>
      <x:c r="P220" s="21" t="n">
        <x:v>0</x:v>
      </x:c>
      <x:c r="Q220" s="21" t="n">
        <x:v>0.07342995169082127</x:v>
      </x:c>
      <x:c r="R220" s="21" t="n">
        <x:v>0.7196135265700483</x:v>
      </x:c>
      <x:c r="S220" s="21" t="n">
        <x:v>0</x:v>
      </x:c>
      <x:c r="T220" s="21" t="n">
        <x:v>0</x:v>
      </x:c>
      <x:c r="U220" s="21" t="n">
        <x:v>0</x:v>
      </x:c>
      <x:c r="V220" s="21" t="n">
        <x:v>0</x:v>
      </x:c>
      <x:c r="W220" s="21" t="n">
        <x:v>2.5700483091787443</x:v>
      </x:c>
      <x:c r="X220" s="21" t="n">
        <x:v>1.6521739130434783</x:v>
      </x:c>
      <x:c r="Y220" s="21" t="n">
        <x:v>20.868792270531404</x:v>
      </x:c>
      <x:c r="Z220" s="21" t="n">
        <x:v>0.12593236714975845</x:v>
      </x:c>
      <x:c r="AA220" s="21" t="n">
        <x:v>11.381642512077295</x:v>
      </x:c>
      <x:c r="AB220" s="21" t="n">
        <x:v>0.78</x:v>
      </x:c>
      <x:c r="AC220" s="21" t="n">
        <x:v>0</x:v>
      </x:c>
      <x:c r="AD220" s="21" t="n">
        <x:v>0</x:v>
      </x:c>
      <x:c r="AE220" s="21" t="n">
        <x:v>0</x:v>
      </x:c>
      <x:c r="AF220" s="21" t="n">
        <x:v>0</x:v>
      </x:c>
      <x:c r="AG220" s="21" t="n">
        <x:v>0</x:v>
      </x:c>
      <x:c r="AH220" s="21" t="n">
        <x:v>0</x:v>
      </x:c>
      <x:c r="AI220" s="21" t="n">
        <x:v>0</x:v>
      </x:c>
      <x:c r="AJ220" s="21" t="n">
        <x:v>0</x:v>
      </x:c>
      <x:c r="AK220" s="21" t="n">
        <x:v>0</x:v>
      </x:c>
      <x:c r="AL220" s="21" t="n">
        <x:v>0</x:v>
      </x:c>
      <x:c r="AM220" s="21" t="n">
        <x:v>1</x:v>
      </x:c>
      <x:c r="AN220" s="21" t="n">
        <x:v>1</x:v>
      </x:c>
      <x:c r="AO220" s="21" t="n">
        <x:v>1</x:v>
      </x:c>
      <x:c r="AP220" s="21" t="n">
        <x:v>1</x:v>
      </x:c>
      <x:c r="AQ220" s="21" t="n">
        <x:v>0.98</x:v>
      </x:c>
      <x:c r="AR220" s="21" t="n">
        <x:v>1</x:v>
      </x:c>
      <x:c r="AS220" s="21" t="n">
        <x:v>1</x:v>
      </x:c>
      <x:c r="AT220" s="21" t="n">
        <x:v>1</x:v>
      </x:c>
      <x:c r="AU220" s="21" t="n">
        <x:v>0</x:v>
      </x:c>
      <x:c r="AV220" s="22" t="n">
        <x:f>IF(C220="QB",N220*0.04+O220*4-P220*2+R220*0.1+S220*6,IF(OR(C220="RB",C220="WR",C220="TE"),U220*0.1+V220*6+R220*0.1+S220*6+X220*0.5+Y220*0.1+Z220*6,IF(C220="K",AC220*3+AD220*4+AE220*5+AF220,IF(C220="DST",AG220+AH220*2+AI220*6+AL220,0))))</x:f>
        <x:v>3.7405217391304353</x:v>
      </x:c>
      <x:c r="AW220" s="22" t="n">
        <x:f>(AV220+AU220)*G220</x:f>
        <x:v>3.7405217391304353</x:v>
      </x:c>
      <x:c r="AX220" s="22" t="n">
        <x:f>MAX(0,AW220*IF(C220="QB",0.68,IF(C220="RB",0.58,IF(C220="WR",0.52,IF(C220="TE",0.50,IF(C220="K",0.55,0.40))))))</x:f>
        <x:v>1.9450713043478265</x:v>
      </x:c>
      <x:c r="AY220" s="22" t="n">
        <x:f>AW220*IF(C220="QB",1.32,IF(C220="RB",1.45,IF(C220="WR",1.55,IF(C220="TE",1.60,IF(C220="K",1.45,1.65)))))</x:f>
        <x:v>5.797808695652175</x:v>
      </x:c>
      <x:c r="AZ220" s="12" t="str">
        <x:v>High</x:v>
      </x:c>
      <x:c r="BA220" s="12" t="n">
        <x:v>8</x:v>
      </x:c>
      <x:c r="BB220" s="12" t="n">
        <x:f>COUNTIFS($C$2:$C$344,C220,$AW$2:$AW$344,"&gt;"&amp;AW220,$G$2:$G$344,"&gt;0")+COUNTIFS($C$2:C220,C220,$AW$2:AW220,AW220,$G$2:G220,"&gt;0")</x:f>
        <x:v>83</x:v>
      </x:c>
      <x:c r="BC220" s="12" t="n">
        <x:v>83</x:v>
      </x:c>
      <x:c r="BD220" s="12" t="str">
        <x:f>IF(BB220&lt;BC220,"↑",IF(BB220&gt;BC220,"↓","→"))</x:f>
        <x:v>→</x:v>
      </x:c>
      <x:c r="BE220" s="23" t="str">
        <x:v>Fantasy Football Brief ROS baseline; official NFL schedule</x:v>
      </x:c>
      <x:c r="BF220" s="23" t="str">
        <x:v>Current role and availability baseline; all adjustment factors shown numerically</x:v>
      </x:c>
      <x:c r="BG220" s="23" t="str">
        <x:v>Material injury, depth-chart, or role change</x:v>
      </x:c>
      <x:c r="BH220" s="24" t="str">
        <x:v>2026-09-23 10:35 CT</x:v>
      </x:c>
    </x:row>
    <x:row r="221">
      <x:c r="A221" s="12" t="str">
        <x:v>Travis Hunter</x:v>
      </x:c>
      <x:c r="B221" s="12" t="str">
        <x:v>JAC</x:v>
      </x:c>
      <x:c r="C221" s="12" t="str">
        <x:v>WR</x:v>
      </x:c>
      <x:c r="D221" s="12" t="str">
        <x:v>NE</x:v>
      </x:c>
      <x:c r="E221" s="12" t="str">
        <x:v>Home</x:v>
      </x:c>
      <x:c r="F221" s="12" t="str">
        <x:v>2026-09-27</x:v>
      </x:c>
      <x:c r="G221" s="19" t="n">
        <x:v>1</x:v>
      </x:c>
      <x:c r="H221" s="20" t="str">
        <x:v>ACTIVE</x:v>
      </x:c>
      <x:c r="I221" s="20" t="n">
        <x:v>52</x:v>
      </x:c>
      <x:c r="J221" s="20" t="str">
        <x:v>Routes</x:v>
      </x:c>
      <x:c r="K221" s="20" t="n">
        <x:v>11.082125603864736</x:v>
      </x:c>
      <x:c r="L221" s="21" t="n">
        <x:v>0</x:v>
      </x:c>
      <x:c r="M221" s="21" t="n">
        <x:v>0</x:v>
      </x:c>
      <x:c r="N221" s="21" t="n">
        <x:v>0</x:v>
      </x:c>
      <x:c r="O221" s="21" t="n">
        <x:v>0</x:v>
      </x:c>
      <x:c r="P221" s="21" t="n">
        <x:v>0</x:v>
      </x:c>
      <x:c r="Q221" s="21" t="n">
        <x:v>0.07149758454106281</x:v>
      </x:c>
      <x:c r="R221" s="21" t="n">
        <x:v>0.7078260869565218</x:v>
      </x:c>
      <x:c r="S221" s="21" t="n">
        <x:v>0</x:v>
      </x:c>
      <x:c r="T221" s="21" t="n">
        <x:v>0</x:v>
      </x:c>
      <x:c r="U221" s="21" t="n">
        <x:v>0</x:v>
      </x:c>
      <x:c r="V221" s="21" t="n">
        <x:v>0</x:v>
      </x:c>
      <x:c r="W221" s="21" t="n">
        <x:v>2.5024154589371985</x:v>
      </x:c>
      <x:c r="X221" s="21" t="n">
        <x:v>1.608695652173913</x:v>
      </x:c>
      <x:c r="Y221" s="21" t="n">
        <x:v>20.526956521739134</x:v>
      </x:c>
      <x:c r="Z221" s="21" t="n">
        <x:v>0.12386956521739131</x:v>
      </x:c>
      <x:c r="AA221" s="21" t="n">
        <x:v>11.082125603864736</x:v>
      </x:c>
      <x:c r="AB221" s="21" t="n">
        <x:v>0.78</x:v>
      </x:c>
      <x:c r="AC221" s="21" t="n">
        <x:v>0</x:v>
      </x:c>
      <x:c r="AD221" s="21" t="n">
        <x:v>0</x:v>
      </x:c>
      <x:c r="AE221" s="21" t="n">
        <x:v>0</x:v>
      </x:c>
      <x:c r="AF221" s="21" t="n">
        <x:v>0</x:v>
      </x:c>
      <x:c r="AG221" s="21" t="n">
        <x:v>0</x:v>
      </x:c>
      <x:c r="AH221" s="21" t="n">
        <x:v>0</x:v>
      </x:c>
      <x:c r="AI221" s="21" t="n">
        <x:v>0</x:v>
      </x:c>
      <x:c r="AJ221" s="21" t="n">
        <x:v>0</x:v>
      </x:c>
      <x:c r="AK221" s="21" t="n">
        <x:v>0</x:v>
      </x:c>
      <x:c r="AL221" s="21" t="n">
        <x:v>0</x:v>
      </x:c>
      <x:c r="AM221" s="21" t="n">
        <x:v>1</x:v>
      </x:c>
      <x:c r="AN221" s="21" t="n">
        <x:v>1</x:v>
      </x:c>
      <x:c r="AO221" s="21" t="n">
        <x:v>1</x:v>
      </x:c>
      <x:c r="AP221" s="21" t="n">
        <x:v>1</x:v>
      </x:c>
      <x:c r="AQ221" s="21" t="n">
        <x:v>0.99</x:v>
      </x:c>
      <x:c r="AR221" s="21" t="n">
        <x:v>1</x:v>
      </x:c>
      <x:c r="AS221" s="21" t="n">
        <x:v>1</x:v>
      </x:c>
      <x:c r="AT221" s="21" t="n">
        <x:v>1</x:v>
      </x:c>
      <x:c r="AU221" s="21" t="n">
        <x:v>0</x:v>
      </x:c>
      <x:c r="AV221" s="22" t="n">
        <x:f>IF(C221="QB",N221*0.04+O221*4-P221*2+R221*0.1+S221*6,IF(OR(C221="RB",C221="WR",C221="TE"),U221*0.1+V221*6+R221*0.1+S221*6+X221*0.5+Y221*0.1+Z221*6,IF(C221="K",AC221*3+AD221*4+AE221*5+AF221,IF(C221="DST",AG221+AH221*2+AI221*6+AL221,0))))</x:f>
        <x:v>3.67104347826087</x:v>
      </x:c>
      <x:c r="AW221" s="22" t="n">
        <x:f>(AV221+AU221)*G221</x:f>
        <x:v>3.67104347826087</x:v>
      </x:c>
      <x:c r="AX221" s="22" t="n">
        <x:f>MAX(0,AW221*IF(C221="QB",0.68,IF(C221="RB",0.58,IF(C221="WR",0.52,IF(C221="TE",0.50,IF(C221="K",0.55,0.40))))))</x:f>
        <x:v>1.9089426086956525</x:v>
      </x:c>
      <x:c r="AY221" s="22" t="n">
        <x:f>AW221*IF(C221="QB",1.32,IF(C221="RB",1.45,IF(C221="WR",1.55,IF(C221="TE",1.60,IF(C221="K",1.45,1.65)))))</x:f>
        <x:v>5.690117391304349</x:v>
      </x:c>
      <x:c r="AZ221" s="12" t="str">
        <x:v>High</x:v>
      </x:c>
      <x:c r="BA221" s="12" t="n">
        <x:v>8</x:v>
      </x:c>
      <x:c r="BB221" s="12" t="n">
        <x:f>COUNTIFS($C$2:$C$344,C221,$AW$2:$AW$344,"&gt;"&amp;AW221,$G$2:$G$344,"&gt;0")+COUNTIFS($C$2:C221,C221,$AW$2:AW221,AW221,$G$2:G221,"&gt;0")</x:f>
        <x:v>84</x:v>
      </x:c>
      <x:c r="BC221" s="12" t="n">
        <x:v>84</x:v>
      </x:c>
      <x:c r="BD221" s="12" t="str">
        <x:f>IF(BB221&lt;BC221,"↑",IF(BB221&gt;BC221,"↓","→"))</x:f>
        <x:v>→</x:v>
      </x:c>
      <x:c r="BE221" s="23" t="str">
        <x:v>Fantasy Football Brief ROS baseline; official NFL schedule</x:v>
      </x:c>
      <x:c r="BF221" s="23" t="str">
        <x:v>Current role and availability baseline; all adjustment factors shown numerically</x:v>
      </x:c>
      <x:c r="BG221" s="23" t="str">
        <x:v>Material injury, depth-chart, or role change</x:v>
      </x:c>
      <x:c r="BH221" s="24" t="str">
        <x:v>2026-09-23 10:35 CT</x:v>
      </x:c>
    </x:row>
    <x:row r="222">
      <x:c r="A222" s="12" t="str">
        <x:v>Jack Bech</x:v>
      </x:c>
      <x:c r="B222" s="12" t="str">
        <x:v>LV</x:v>
      </x:c>
      <x:c r="C222" s="12" t="str">
        <x:v>WR</x:v>
      </x:c>
      <x:c r="D222" s="12" t="str">
        <x:v>NO</x:v>
      </x:c>
      <x:c r="E222" s="12" t="str">
        <x:v>Away</x:v>
      </x:c>
      <x:c r="F222" s="12" t="str">
        <x:v>2026-09-27</x:v>
      </x:c>
      <x:c r="G222" s="19" t="n">
        <x:v>1</x:v>
      </x:c>
      <x:c r="H222" s="20" t="str">
        <x:v>ACTIVE</x:v>
      </x:c>
      <x:c r="I222" s="20" t="n">
        <x:v>52</x:v>
      </x:c>
      <x:c r="J222" s="20" t="str">
        <x:v>Routes</x:v>
      </x:c>
      <x:c r="K222" s="20" t="n">
        <x:v>10.782608695652176</x:v>
      </x:c>
      <x:c r="L222" s="21" t="n">
        <x:v>0</x:v>
      </x:c>
      <x:c r="M222" s="21" t="n">
        <x:v>0</x:v>
      </x:c>
      <x:c r="N222" s="21" t="n">
        <x:v>0</x:v>
      </x:c>
      <x:c r="O222" s="21" t="n">
        <x:v>0</x:v>
      </x:c>
      <x:c r="P222" s="21" t="n">
        <x:v>0</x:v>
      </x:c>
      <x:c r="Q222" s="21" t="n">
        <x:v>0.06956521739130436</x:v>
      </x:c>
      <x:c r="R222" s="21" t="n">
        <x:v>0.6953739130434784</x:v>
      </x:c>
      <x:c r="S222" s="21" t="n">
        <x:v>0</x:v>
      </x:c>
      <x:c r="T222" s="21" t="n">
        <x:v>0</x:v>
      </x:c>
      <x:c r="U222" s="21" t="n">
        <x:v>0</x:v>
      </x:c>
      <x:c r="V222" s="21" t="n">
        <x:v>0</x:v>
      </x:c>
      <x:c r="W222" s="21" t="n">
        <x:v>2.4347826086956523</x:v>
      </x:c>
      <x:c r="X222" s="21" t="n">
        <x:v>1.5652173913043481</x:v>
      </x:c>
      <x:c r="Y222" s="21" t="n">
        <x:v>20.165843478260875</x:v>
      </x:c>
      <x:c r="Z222" s="21" t="n">
        <x:v>0.1216904347826087</x:v>
      </x:c>
      <x:c r="AA222" s="21" t="n">
        <x:v>10.782608695652176</x:v>
      </x:c>
      <x:c r="AB222" s="21" t="n">
        <x:v>0.78</x:v>
      </x:c>
      <x:c r="AC222" s="21" t="n">
        <x:v>0</x:v>
      </x:c>
      <x:c r="AD222" s="21" t="n">
        <x:v>0</x:v>
      </x:c>
      <x:c r="AE222" s="21" t="n">
        <x:v>0</x:v>
      </x:c>
      <x:c r="AF222" s="21" t="n">
        <x:v>0</x:v>
      </x:c>
      <x:c r="AG222" s="21" t="n">
        <x:v>0</x:v>
      </x:c>
      <x:c r="AH222" s="21" t="n">
        <x:v>0</x:v>
      </x:c>
      <x:c r="AI222" s="21" t="n">
        <x:v>0</x:v>
      </x:c>
      <x:c r="AJ222" s="21" t="n">
        <x:v>0</x:v>
      </x:c>
      <x:c r="AK222" s="21" t="n">
        <x:v>0</x:v>
      </x:c>
      <x:c r="AL222" s="21" t="n">
        <x:v>0</x:v>
      </x:c>
      <x:c r="AM222" s="21" t="n">
        <x:v>1</x:v>
      </x:c>
      <x:c r="AN222" s="21" t="n">
        <x:v>1</x:v>
      </x:c>
      <x:c r="AO222" s="21" t="n">
        <x:v>1</x:v>
      </x:c>
      <x:c r="AP222" s="21" t="n">
        <x:v>0.98</x:v>
      </x:c>
      <x:c r="AQ222" s="21" t="n">
        <x:v>1.02</x:v>
      </x:c>
      <x:c r="AR222" s="21" t="n">
        <x:v>1</x:v>
      </x:c>
      <x:c r="AS222" s="21" t="n">
        <x:v>1</x:v>
      </x:c>
      <x:c r="AT222" s="21" t="n">
        <x:v>1</x:v>
      </x:c>
      <x:c r="AU222" s="21" t="n">
        <x:v>0</x:v>
      </x:c>
      <x:c r="AV222" s="22" t="n">
        <x:f>IF(C222="QB",N222*0.04+O222*4-P222*2+R222*0.1+S222*6,IF(OR(C222="RB",C222="WR",C222="TE"),U222*0.1+V222*6+R222*0.1+S222*6+X222*0.5+Y222*0.1+Z222*6,IF(C222="K",AC222*3+AD222*4+AE222*5+AF222,IF(C222="DST",AG222+AH222*2+AI222*6+AL222,0))))</x:f>
        <x:v>3.598873043478261</x:v>
      </x:c>
      <x:c r="AW222" s="22" t="n">
        <x:f>(AV222+AU222)*G222</x:f>
        <x:v>3.598873043478261</x:v>
      </x:c>
      <x:c r="AX222" s="22" t="n">
        <x:f>MAX(0,AW222*IF(C222="QB",0.68,IF(C222="RB",0.58,IF(C222="WR",0.52,IF(C222="TE",0.50,IF(C222="K",0.55,0.40))))))</x:f>
        <x:v>1.871413982608696</x:v>
      </x:c>
      <x:c r="AY222" s="22" t="n">
        <x:f>AW222*IF(C222="QB",1.32,IF(C222="RB",1.45,IF(C222="WR",1.55,IF(C222="TE",1.60,IF(C222="K",1.45,1.65)))))</x:f>
        <x:v>5.578253217391305</x:v>
      </x:c>
      <x:c r="AZ222" s="12" t="str">
        <x:v>High</x:v>
      </x:c>
      <x:c r="BA222" s="12" t="n">
        <x:v>8</x:v>
      </x:c>
      <x:c r="BB222" s="12" t="n">
        <x:f>COUNTIFS($C$2:$C$344,C222,$AW$2:$AW$344,"&gt;"&amp;AW222,$G$2:$G$344,"&gt;0")+COUNTIFS($C$2:C222,C222,$AW$2:AW222,AW222,$G$2:G222,"&gt;0")</x:f>
        <x:v>85</x:v>
      </x:c>
      <x:c r="BC222" s="12" t="n">
        <x:v>85</x:v>
      </x:c>
      <x:c r="BD222" s="12" t="str">
        <x:f>IF(BB222&lt;BC222,"↑",IF(BB222&gt;BC222,"↓","→"))</x:f>
        <x:v>→</x:v>
      </x:c>
      <x:c r="BE222" s="23" t="str">
        <x:v>Fantasy Football Brief ROS baseline; official NFL schedule</x:v>
      </x:c>
      <x:c r="BF222" s="23" t="str">
        <x:v>Current role and availability baseline; all adjustment factors shown numerically</x:v>
      </x:c>
      <x:c r="BG222" s="23" t="str">
        <x:v>Material injury, depth-chart, or role change</x:v>
      </x:c>
      <x:c r="BH222" s="24" t="str">
        <x:v>2026-09-23 10:35 CT</x:v>
      </x:c>
    </x:row>
    <x:row r="223">
      <x:c r="A223" s="12" t="str">
        <x:v>Kyle Williams</x:v>
      </x:c>
      <x:c r="B223" s="12" t="str">
        <x:v>NE</x:v>
      </x:c>
      <x:c r="C223" s="12" t="str">
        <x:v>WR</x:v>
      </x:c>
      <x:c r="D223" s="12" t="str">
        <x:v>JAX</x:v>
      </x:c>
      <x:c r="E223" s="12" t="str">
        <x:v>Away</x:v>
      </x:c>
      <x:c r="F223" s="12" t="str">
        <x:v>2026-09-27</x:v>
      </x:c>
      <x:c r="G223" s="19" t="n">
        <x:v>1</x:v>
      </x:c>
      <x:c r="H223" s="20" t="str">
        <x:v>ACTIVE</x:v>
      </x:c>
      <x:c r="I223" s="20" t="n">
        <x:v>52</x:v>
      </x:c>
      <x:c r="J223" s="20" t="str">
        <x:v>Routes</x:v>
      </x:c>
      <x:c r="K223" s="20" t="n">
        <x:v>10.782608695652176</x:v>
      </x:c>
      <x:c r="L223" s="21" t="n">
        <x:v>0</x:v>
      </x:c>
      <x:c r="M223" s="21" t="n">
        <x:v>0</x:v>
      </x:c>
      <x:c r="N223" s="21" t="n">
        <x:v>0</x:v>
      </x:c>
      <x:c r="O223" s="21" t="n">
        <x:v>0</x:v>
      </x:c>
      <x:c r="P223" s="21" t="n">
        <x:v>0</x:v>
      </x:c>
      <x:c r="Q223" s="21" t="n">
        <x:v>0.06956521739130436</x:v>
      </x:c>
      <x:c r="R223" s="21" t="n">
        <x:v>0.6953739130434784</x:v>
      </x:c>
      <x:c r="S223" s="21" t="n">
        <x:v>0</x:v>
      </x:c>
      <x:c r="T223" s="21" t="n">
        <x:v>0</x:v>
      </x:c>
      <x:c r="U223" s="21" t="n">
        <x:v>0</x:v>
      </x:c>
      <x:c r="V223" s="21" t="n">
        <x:v>0</x:v>
      </x:c>
      <x:c r="W223" s="21" t="n">
        <x:v>2.4347826086956523</x:v>
      </x:c>
      <x:c r="X223" s="21" t="n">
        <x:v>1.5652173913043481</x:v>
      </x:c>
      <x:c r="Y223" s="21" t="n">
        <x:v>20.165843478260875</x:v>
      </x:c>
      <x:c r="Z223" s="21" t="n">
        <x:v>0.1216904347826087</x:v>
      </x:c>
      <x:c r="AA223" s="21" t="n">
        <x:v>10.782608695652176</x:v>
      </x:c>
      <x:c r="AB223" s="21" t="n">
        <x:v>0.78</x:v>
      </x:c>
      <x:c r="AC223" s="21" t="n">
        <x:v>0</x:v>
      </x:c>
      <x:c r="AD223" s="21" t="n">
        <x:v>0</x:v>
      </x:c>
      <x:c r="AE223" s="21" t="n">
        <x:v>0</x:v>
      </x:c>
      <x:c r="AF223" s="21" t="n">
        <x:v>0</x:v>
      </x:c>
      <x:c r="AG223" s="21" t="n">
        <x:v>0</x:v>
      </x:c>
      <x:c r="AH223" s="21" t="n">
        <x:v>0</x:v>
      </x:c>
      <x:c r="AI223" s="21" t="n">
        <x:v>0</x:v>
      </x:c>
      <x:c r="AJ223" s="21" t="n">
        <x:v>0</x:v>
      </x:c>
      <x:c r="AK223" s="21" t="n">
        <x:v>0</x:v>
      </x:c>
      <x:c r="AL223" s="21" t="n">
        <x:v>0</x:v>
      </x:c>
      <x:c r="AM223" s="21" t="n">
        <x:v>1</x:v>
      </x:c>
      <x:c r="AN223" s="21" t="n">
        <x:v>1</x:v>
      </x:c>
      <x:c r="AO223" s="21" t="n">
        <x:v>1</x:v>
      </x:c>
      <x:c r="AP223" s="21" t="n">
        <x:v>0.98</x:v>
      </x:c>
      <x:c r="AQ223" s="21" t="n">
        <x:v>1.02</x:v>
      </x:c>
      <x:c r="AR223" s="21" t="n">
        <x:v>1</x:v>
      </x:c>
      <x:c r="AS223" s="21" t="n">
        <x:v>1</x:v>
      </x:c>
      <x:c r="AT223" s="21" t="n">
        <x:v>1</x:v>
      </x:c>
      <x:c r="AU223" s="21" t="n">
        <x:v>0</x:v>
      </x:c>
      <x:c r="AV223" s="22" t="n">
        <x:f>IF(C223="QB",N223*0.04+O223*4-P223*2+R223*0.1+S223*6,IF(OR(C223="RB",C223="WR",C223="TE"),U223*0.1+V223*6+R223*0.1+S223*6+X223*0.5+Y223*0.1+Z223*6,IF(C223="K",AC223*3+AD223*4+AE223*5+AF223,IF(C223="DST",AG223+AH223*2+AI223*6+AL223,0))))</x:f>
        <x:v>3.598873043478261</x:v>
      </x:c>
      <x:c r="AW223" s="22" t="n">
        <x:f>(AV223+AU223)*G223</x:f>
        <x:v>3.598873043478261</x:v>
      </x:c>
      <x:c r="AX223" s="22" t="n">
        <x:f>MAX(0,AW223*IF(C223="QB",0.68,IF(C223="RB",0.58,IF(C223="WR",0.52,IF(C223="TE",0.50,IF(C223="K",0.55,0.40))))))</x:f>
        <x:v>1.871413982608696</x:v>
      </x:c>
      <x:c r="AY223" s="22" t="n">
        <x:f>AW223*IF(C223="QB",1.32,IF(C223="RB",1.45,IF(C223="WR",1.55,IF(C223="TE",1.60,IF(C223="K",1.45,1.65)))))</x:f>
        <x:v>5.578253217391305</x:v>
      </x:c>
      <x:c r="AZ223" s="12" t="str">
        <x:v>High</x:v>
      </x:c>
      <x:c r="BA223" s="12" t="n">
        <x:v>8</x:v>
      </x:c>
      <x:c r="BB223" s="12" t="n">
        <x:f>COUNTIFS($C$2:$C$344,C223,$AW$2:$AW$344,"&gt;"&amp;AW223,$G$2:$G$344,"&gt;0")+COUNTIFS($C$2:C223,C223,$AW$2:AW223,AW223,$G$2:G223,"&gt;0")</x:f>
        <x:v>86</x:v>
      </x:c>
      <x:c r="BC223" s="12" t="n">
        <x:v>86</x:v>
      </x:c>
      <x:c r="BD223" s="12" t="str">
        <x:f>IF(BB223&lt;BC223,"↑",IF(BB223&gt;BC223,"↓","→"))</x:f>
        <x:v>→</x:v>
      </x:c>
      <x:c r="BE223" s="23" t="str">
        <x:v>Fantasy Football Brief ROS baseline; official NFL schedule</x:v>
      </x:c>
      <x:c r="BF223" s="23" t="str">
        <x:v>Current role and availability baseline; all adjustment factors shown numerically</x:v>
      </x:c>
      <x:c r="BG223" s="23" t="str">
        <x:v>Material injury, depth-chart, or role change</x:v>
      </x:c>
      <x:c r="BH223" s="24" t="str">
        <x:v>2026-09-23 10:35 CT</x:v>
      </x:c>
    </x:row>
    <x:row r="224">
      <x:c r="A224" s="12" t="str">
        <x:v>Darnell Mooney</x:v>
      </x:c>
      <x:c r="B224" s="12" t="str">
        <x:v>NYG</x:v>
      </x:c>
      <x:c r="C224" s="12" t="str">
        <x:v>WR</x:v>
      </x:c>
      <x:c r="D224" s="12" t="str">
        <x:v>TEN</x:v>
      </x:c>
      <x:c r="E224" s="12" t="str">
        <x:v>Home</x:v>
      </x:c>
      <x:c r="F224" s="12" t="str">
        <x:v>2026-09-27</x:v>
      </x:c>
      <x:c r="G224" s="19" t="n">
        <x:v>1</x:v>
      </x:c>
      <x:c r="H224" s="20" t="str">
        <x:v>ACTIVE</x:v>
      </x:c>
      <x:c r="I224" s="20" t="n">
        <x:v>52</x:v>
      </x:c>
      <x:c r="J224" s="20" t="str">
        <x:v>Routes</x:v>
      </x:c>
      <x:c r="K224" s="20" t="n">
        <x:v>10.782608695652176</x:v>
      </x:c>
      <x:c r="L224" s="21" t="n">
        <x:v>0</x:v>
      </x:c>
      <x:c r="M224" s="21" t="n">
        <x:v>0</x:v>
      </x:c>
      <x:c r="N224" s="21" t="n">
        <x:v>0</x:v>
      </x:c>
      <x:c r="O224" s="21" t="n">
        <x:v>0</x:v>
      </x:c>
      <x:c r="P224" s="21" t="n">
        <x:v>0</x:v>
      </x:c>
      <x:c r="Q224" s="21" t="n">
        <x:v>0.06956521739130436</x:v>
      </x:c>
      <x:c r="R224" s="21" t="n">
        <x:v>0.6811826086956523</x:v>
      </x:c>
      <x:c r="S224" s="21" t="n">
        <x:v>0</x:v>
      </x:c>
      <x:c r="T224" s="21" t="n">
        <x:v>0</x:v>
      </x:c>
      <x:c r="U224" s="21" t="n">
        <x:v>0</x:v>
      </x:c>
      <x:c r="V224" s="21" t="n">
        <x:v>0</x:v>
      </x:c>
      <x:c r="W224" s="21" t="n">
        <x:v>2.4347826086956523</x:v>
      </x:c>
      <x:c r="X224" s="21" t="n">
        <x:v>1.4869565217391307</x:v>
      </x:c>
      <x:c r="Y224" s="21" t="n">
        <x:v>17.778866086956526</x:v>
      </x:c>
      <x:c r="Z224" s="21" t="n">
        <x:v>0.10132591304347825</x:v>
      </x:c>
      <x:c r="AA224" s="21" t="n">
        <x:v>10.782608695652176</x:v>
      </x:c>
      <x:c r="AB224" s="21" t="n">
        <x:v>0.78</x:v>
      </x:c>
      <x:c r="AC224" s="21" t="n">
        <x:v>0</x:v>
      </x:c>
      <x:c r="AD224" s="21" t="n">
        <x:v>0</x:v>
      </x:c>
      <x:c r="AE224" s="21" t="n">
        <x:v>0</x:v>
      </x:c>
      <x:c r="AF224" s="21" t="n">
        <x:v>0</x:v>
      </x:c>
      <x:c r="AG224" s="21" t="n">
        <x:v>0</x:v>
      </x:c>
      <x:c r="AH224" s="21" t="n">
        <x:v>0</x:v>
      </x:c>
      <x:c r="AI224" s="21" t="n">
        <x:v>0</x:v>
      </x:c>
      <x:c r="AJ224" s="21" t="n">
        <x:v>0</x:v>
      </x:c>
      <x:c r="AK224" s="21" t="n">
        <x:v>0</x:v>
      </x:c>
      <x:c r="AL224" s="21" t="n">
        <x:v>0</x:v>
      </x:c>
      <x:c r="AM224" s="21" t="n">
        <x:v>1</x:v>
      </x:c>
      <x:c r="AN224" s="21" t="n">
        <x:v>1</x:v>
      </x:c>
      <x:c r="AO224" s="21" t="n">
        <x:v>1</x:v>
      </x:c>
      <x:c r="AP224" s="21" t="n">
        <x:v>0.96</x:v>
      </x:c>
      <x:c r="AQ224" s="21" t="n">
        <x:v>1.02</x:v>
      </x:c>
      <x:c r="AR224" s="21" t="n">
        <x:v>1</x:v>
      </x:c>
      <x:c r="AS224" s="21" t="n">
        <x:v>1</x:v>
      </x:c>
      <x:c r="AT224" s="21" t="n">
        <x:v>1</x:v>
      </x:c>
      <x:c r="AU224" s="21" t="n">
        <x:v>0</x:v>
      </x:c>
      <x:c r="AV224" s="22" t="n">
        <x:f>IF(C224="QB",N224*0.04+O224*4-P224*2+R224*0.1+S224*6,IF(OR(C224="RB",C224="WR",C224="TE"),U224*0.1+V224*6+R224*0.1+S224*6+X224*0.5+Y224*0.1+Z224*6,IF(C224="K",AC224*3+AD224*4+AE224*5+AF224,IF(C224="DST",AG224+AH224*2+AI224*6+AL224,0))))</x:f>
        <x:v>3.197438608695653</x:v>
      </x:c>
      <x:c r="AW224" s="22" t="n">
        <x:f>(AV224+AU224)*G224</x:f>
        <x:v>3.197438608695653</x:v>
      </x:c>
      <x:c r="AX224" s="22" t="n">
        <x:f>MAX(0,AW224*IF(C224="QB",0.68,IF(C224="RB",0.58,IF(C224="WR",0.52,IF(C224="TE",0.50,IF(C224="K",0.55,0.40))))))</x:f>
        <x:v>1.6626680765217396</x:v>
      </x:c>
      <x:c r="AY224" s="22" t="n">
        <x:f>AW224*IF(C224="QB",1.32,IF(C224="RB",1.45,IF(C224="WR",1.55,IF(C224="TE",1.60,IF(C224="K",1.45,1.65)))))</x:f>
        <x:v>4.956029843478262</x:v>
      </x:c>
      <x:c r="AZ224" s="12" t="str">
        <x:v>Moderate</x:v>
      </x:c>
      <x:c r="BA224" s="12" t="n">
        <x:v>8</x:v>
      </x:c>
      <x:c r="BB224" s="12" t="n">
        <x:f>COUNTIFS($C$2:$C$344,C224,$AW$2:$AW$344,"&gt;"&amp;AW224,$G$2:$G$344,"&gt;0")+COUNTIFS($C$2:C224,C224,$AW$2:AW224,AW224,$G$2:G224,"&gt;0")</x:f>
        <x:v>90</x:v>
      </x:c>
      <x:c r="BC224" s="12" t="n">
        <x:v>87</x:v>
      </x:c>
      <x:c r="BD224" s="12" t="str">
        <x:f>IF(BB224&lt;BC224,"↑",IF(BB224&gt;BC224,"↓","→"))</x:f>
        <x:v>↓</x:v>
      </x:c>
      <x:c r="BE224" s="23" t="str">
        <x:v>https://www.giants.com/news/jaxson-dart-to-miss-rest-of-regular-season-jameis-winston-to-start-quarterback-injury-john-harbaugh</x:v>
      </x:c>
      <x:c r="BF224" s="23" t="str">
        <x:v>Winston efficiency revision: receiving catches x0.95,yards x0.90,TD x0.85; targets/carries retained. More uncertain accuracy and scoring reduce receiver production; unranked residual explicitly retained in team budget.</x:v>
      </x:c>
      <x:c r="BG224" s="23" t="str">
        <x:v>Next official practice report and game-status designation</x:v>
      </x:c>
      <x:c r="BH224" s="24" t="str">
        <x:v>2026-09-24 7:40 PM CT</x:v>
      </x:c>
    </x:row>
    <x:row r="225">
      <x:c r="A225" s="12" t="str">
        <x:v>Elic Ayomanor</x:v>
      </x:c>
      <x:c r="B225" s="12" t="str">
        <x:v>TEN</x:v>
      </x:c>
      <x:c r="C225" s="12" t="str">
        <x:v>WR</x:v>
      </x:c>
      <x:c r="D225" s="12" t="str">
        <x:v>NYG</x:v>
      </x:c>
      <x:c r="E225" s="12" t="str">
        <x:v>Away</x:v>
      </x:c>
      <x:c r="F225" s="12" t="str">
        <x:v>2026-09-27</x:v>
      </x:c>
      <x:c r="G225" s="19" t="n">
        <x:v>1</x:v>
      </x:c>
      <x:c r="H225" s="20" t="str">
        <x:v>ACTIVE</x:v>
      </x:c>
      <x:c r="I225" s="20" t="n">
        <x:v>52</x:v>
      </x:c>
      <x:c r="J225" s="20" t="str">
        <x:v>Routes</x:v>
      </x:c>
      <x:c r="K225" s="20" t="n">
        <x:v>10.483091787439614</x:v>
      </x:c>
      <x:c r="L225" s="21" t="n">
        <x:v>0</x:v>
      </x:c>
      <x:c r="M225" s="21" t="n">
        <x:v>0</x:v>
      </x:c>
      <x:c r="N225" s="21" t="n">
        <x:v>0</x:v>
      </x:c>
      <x:c r="O225" s="21" t="n">
        <x:v>0</x:v>
      </x:c>
      <x:c r="P225" s="21" t="n">
        <x:v>0</x:v>
      </x:c>
      <x:c r="Q225" s="21" t="n">
        <x:v>0.0676328502415459</x:v>
      </x:c>
      <x:c r="R225" s="21" t="n">
        <x:v>0.6687536231884058</x:v>
      </x:c>
      <x:c r="S225" s="21" t="n">
        <x:v>0</x:v>
      </x:c>
      <x:c r="T225" s="21" t="n">
        <x:v>0</x:v>
      </x:c>
      <x:c r="U225" s="21" t="n">
        <x:v>0</x:v>
      </x:c>
      <x:c r="V225" s="21" t="n">
        <x:v>0</x:v>
      </x:c>
      <x:c r="W225" s="21" t="n">
        <x:v>2.367149758454106</x:v>
      </x:c>
      <x:c r="X225" s="21" t="n">
        <x:v>1.5217391304347827</x:v>
      </x:c>
      <x:c r="Y225" s="21" t="n">
        <x:v>19.39385507246377</x:v>
      </x:c>
      <x:c r="Z225" s="21" t="n">
        <x:v>0.11703188405797102</x:v>
      </x:c>
      <x:c r="AA225" s="21" t="n">
        <x:v>10.483091787439614</x:v>
      </x:c>
      <x:c r="AB225" s="21" t="n">
        <x:v>0.78</x:v>
      </x:c>
      <x:c r="AC225" s="21" t="n">
        <x:v>0</x:v>
      </x:c>
      <x:c r="AD225" s="21" t="n">
        <x:v>0</x:v>
      </x:c>
      <x:c r="AE225" s="21" t="n">
        <x:v>0</x:v>
      </x:c>
      <x:c r="AF225" s="21" t="n">
        <x:v>0</x:v>
      </x:c>
      <x:c r="AG225" s="21" t="n">
        <x:v>0</x:v>
      </x:c>
      <x:c r="AH225" s="21" t="n">
        <x:v>0</x:v>
      </x:c>
      <x:c r="AI225" s="21" t="n">
        <x:v>0</x:v>
      </x:c>
      <x:c r="AJ225" s="21" t="n">
        <x:v>0</x:v>
      </x:c>
      <x:c r="AK225" s="21" t="n">
        <x:v>0</x:v>
      </x:c>
      <x:c r="AL225" s="21" t="n">
        <x:v>0</x:v>
      </x:c>
      <x:c r="AM225" s="21" t="n">
        <x:v>1</x:v>
      </x:c>
      <x:c r="AN225" s="21" t="n">
        <x:v>1</x:v>
      </x:c>
      <x:c r="AO225" s="21" t="n">
        <x:v>1</x:v>
      </x:c>
      <x:c r="AP225" s="21" t="n">
        <x:v>0.96</x:v>
      </x:c>
      <x:c r="AQ225" s="21" t="n">
        <x:v>1.03</x:v>
      </x:c>
      <x:c r="AR225" s="21" t="n">
        <x:v>1</x:v>
      </x:c>
      <x:c r="AS225" s="21" t="n">
        <x:v>1</x:v>
      </x:c>
      <x:c r="AT225" s="21" t="n">
        <x:v>1</x:v>
      </x:c>
      <x:c r="AU225" s="21" t="n">
        <x:v>0</x:v>
      </x:c>
      <x:c r="AV225" s="22" t="n">
        <x:f>IF(C225="QB",N225*0.04+O225*4-P225*2+R225*0.1+S225*6,IF(OR(C225="RB",C225="WR",C225="TE"),U225*0.1+V225*6+R225*0.1+S225*6+X225*0.5+Y225*0.1+Z225*6,IF(C225="K",AC225*3+AD225*4+AE225*5+AF225,IF(C225="DST",AG225+AH225*2+AI225*6+AL225,0))))</x:f>
        <x:v>3.469321739130435</x:v>
      </x:c>
      <x:c r="AW225" s="22" t="n">
        <x:f>(AV225+AU225)*G225</x:f>
        <x:v>3.469321739130435</x:v>
      </x:c>
      <x:c r="AX225" s="22" t="n">
        <x:f>MAX(0,AW225*IF(C225="QB",0.68,IF(C225="RB",0.58,IF(C225="WR",0.52,IF(C225="TE",0.50,IF(C225="K",0.55,0.40))))))</x:f>
        <x:v>1.8040473043478262</x:v>
      </x:c>
      <x:c r="AY225" s="22" t="n">
        <x:f>AW225*IF(C225="QB",1.32,IF(C225="RB",1.45,IF(C225="WR",1.55,IF(C225="TE",1.60,IF(C225="K",1.45,1.65)))))</x:f>
        <x:v>5.377448695652174</x:v>
      </x:c>
      <x:c r="AZ225" s="12" t="str">
        <x:v>High</x:v>
      </x:c>
      <x:c r="BA225" s="12" t="n">
        <x:v>8</x:v>
      </x:c>
      <x:c r="BB225" s="12" t="n">
        <x:f>COUNTIFS($C$2:$C$344,C225,$AW$2:$AW$344,"&gt;"&amp;AW225,$G$2:$G$344,"&gt;0")+COUNTIFS($C$2:C225,C225,$AW$2:AW225,AW225,$G$2:G225,"&gt;0")</x:f>
        <x:v>87</x:v>
      </x:c>
      <x:c r="BC225" s="12" t="n">
        <x:v>88</x:v>
      </x:c>
      <x:c r="BD225" s="12" t="str">
        <x:f>IF(BB225&lt;BC225,"↑",IF(BB225&gt;BC225,"↓","→"))</x:f>
        <x:v>↑</x:v>
      </x:c>
      <x:c r="BE225" s="23" t="str">
        <x:v>Fantasy Football Brief ROS baseline; official NFL schedule</x:v>
      </x:c>
      <x:c r="BF225" s="23" t="str">
        <x:v>Current role and availability baseline; all adjustment factors shown numerically</x:v>
      </x:c>
      <x:c r="BG225" s="23" t="str">
        <x:v>Material injury, depth-chart, or role change</x:v>
      </x:c>
      <x:c r="BH225" s="24" t="str">
        <x:v>2026-09-23 10:35 CT</x:v>
      </x:c>
    </x:row>
    <x:row r="226">
      <x:c r="A226" s="12" t="str">
        <x:v>Omar Cooper Jr.</x:v>
      </x:c>
      <x:c r="B226" s="12" t="str">
        <x:v>NYJ</x:v>
      </x:c>
      <x:c r="C226" s="12" t="str">
        <x:v>WR</x:v>
      </x:c>
      <x:c r="D226" s="12" t="str">
        <x:v>DET</x:v>
      </x:c>
      <x:c r="E226" s="12" t="str">
        <x:v>Away</x:v>
      </x:c>
      <x:c r="F226" s="12" t="str">
        <x:v>2026-09-27</x:v>
      </x:c>
      <x:c r="G226" s="19" t="n">
        <x:v>0.7333333333333333</x:v>
      </x:c>
      <x:c r="H226" s="20" t="str">
        <x:v>QUESTIONABLE</x:v>
      </x:c>
      <x:c r="I226" s="20" t="n">
        <x:v>38.13333333333333</x:v>
      </x:c>
      <x:c r="J226" s="20" t="str">
        <x:v>Routes</x:v>
      </x:c>
      <x:c r="K226" s="20" t="n">
        <x:v>13.478260869565217</x:v>
      </x:c>
      <x:c r="L226" s="21" t="n">
        <x:v>0</x:v>
      </x:c>
      <x:c r="M226" s="21" t="n">
        <x:v>0</x:v>
      </x:c>
      <x:c r="N226" s="21" t="n">
        <x:v>0</x:v>
      </x:c>
      <x:c r="O226" s="21" t="n">
        <x:v>0</x:v>
      </x:c>
      <x:c r="P226" s="21" t="n">
        <x:v>0</x:v>
      </x:c>
      <x:c r="Q226" s="21" t="n">
        <x:v>0.08695652173913043</x:v>
      </x:c>
      <x:c r="R226" s="21" t="n">
        <x:v>0.8772173913043477</x:v>
      </x:c>
      <x:c r="S226" s="21" t="n">
        <x:v>0</x:v>
      </x:c>
      <x:c r="T226" s="21" t="n">
        <x:v>0</x:v>
      </x:c>
      <x:c r="U226" s="21" t="n">
        <x:v>0</x:v>
      </x:c>
      <x:c r="V226" s="21" t="n">
        <x:v>0</x:v>
      </x:c>
      <x:c r="W226" s="21" t="n">
        <x:v>3.043478260869565</x:v>
      </x:c>
      <x:c r="X226" s="21" t="n">
        <x:v>1.9565217391304348</x:v>
      </x:c>
      <x:c r="Y226" s="21" t="n">
        <x:v>25.439304347826084</x:v>
      </x:c>
      <x:c r="Z226" s="21" t="n">
        <x:v>0.15351304347826084</x:v>
      </x:c>
      <x:c r="AA226" s="21" t="n">
        <x:v>13.478260869565217</x:v>
      </x:c>
      <x:c r="AB226" s="21" t="n">
        <x:v>0.78</x:v>
      </x:c>
      <x:c r="AC226" s="21" t="n">
        <x:v>0</x:v>
      </x:c>
      <x:c r="AD226" s="21" t="n">
        <x:v>0</x:v>
      </x:c>
      <x:c r="AE226" s="21" t="n">
        <x:v>0</x:v>
      </x:c>
      <x:c r="AF226" s="21" t="n">
        <x:v>0</x:v>
      </x:c>
      <x:c r="AG226" s="21" t="n">
        <x:v>0</x:v>
      </x:c>
      <x:c r="AH226" s="21" t="n">
        <x:v>0</x:v>
      </x:c>
      <x:c r="AI226" s="21" t="n">
        <x:v>0</x:v>
      </x:c>
      <x:c r="AJ226" s="21" t="n">
        <x:v>0</x:v>
      </x:c>
      <x:c r="AK226" s="21" t="n">
        <x:v>0</x:v>
      </x:c>
      <x:c r="AL226" s="21" t="n">
        <x:v>0</x:v>
      </x:c>
      <x:c r="AM226" s="21" t="n">
        <x:v>0.7333333333333333</x:v>
      </x:c>
      <x:c r="AN226" s="21" t="n">
        <x:v>1</x:v>
      </x:c>
      <x:c r="AO226" s="21" t="n">
        <x:v>1</x:v>
      </x:c>
      <x:c r="AP226" s="21" t="n">
        <x:v>0.97</x:v>
      </x:c>
      <x:c r="AQ226" s="21" t="n">
        <x:v>1.04</x:v>
      </x:c>
      <x:c r="AR226" s="21" t="n">
        <x:v>1</x:v>
      </x:c>
      <x:c r="AS226" s="21" t="n">
        <x:v>1</x:v>
      </x:c>
      <x:c r="AT226" s="21" t="n">
        <x:v>1</x:v>
      </x:c>
      <x:c r="AU226" s="21" t="n">
        <x:v>0</x:v>
      </x:c>
      <x:c r="AV226" s="22" t="n">
        <x:f>IF(C226="QB",N226*0.04+O226*4-P226*2+R226*0.1+S226*6,IF(OR(C226="RB",C226="WR",C226="TE"),U226*0.1+V226*6+R226*0.1+S226*6+X226*0.5+Y226*0.1+Z226*6,IF(C226="K",AC226*3+AD226*4+AE226*5+AF226,IF(C226="DST",AG226+AH226*2+AI226*6+AL226,0))))</x:f>
        <x:v>4.530991304347825</x:v>
      </x:c>
      <x:c r="AW226" s="22" t="n">
        <x:f>(AV226+AU226)*G226</x:f>
        <x:v>3.3227269565217386</x:v>
      </x:c>
      <x:c r="AX226" s="22" t="n">
        <x:f>MAX(0,AW226*IF(C226="QB",0.68,IF(C226="RB",0.58,IF(C226="WR",0.52,IF(C226="TE",0.50,IF(C226="K",0.55,0.40))))))</x:f>
        <x:v>1.727818017391304</x:v>
      </x:c>
      <x:c r="AY226" s="22" t="n">
        <x:f>AW226*IF(C226="QB",1.32,IF(C226="RB",1.45,IF(C226="WR",1.55,IF(C226="TE",1.60,IF(C226="K",1.45,1.65)))))</x:f>
        <x:v>5.150226782608695</x:v>
      </x:c>
      <x:c r="AZ226" s="12" t="str">
        <x:v>Low</x:v>
      </x:c>
      <x:c r="BA226" s="12" t="n">
        <x:v>8</x:v>
      </x:c>
      <x:c r="BB226" s="12" t="n">
        <x:f>COUNTIFS($C$2:$C$344,C226,$AW$2:$AW$344,"&gt;"&amp;AW226,$G$2:$G$344,"&gt;0")+COUNTIFS($C$2:C226,C226,$AW$2:AW226,AW226,$G$2:G226,"&gt;0")</x:f>
        <x:v>88</x:v>
      </x:c>
      <x:c r="BC226" s="12" t="n">
        <x:v>89</x:v>
      </x:c>
      <x:c r="BD226" s="12" t="str">
        <x:f>IF(BB226&lt;BC226,"↑",IF(BB226&gt;BC226,"↓","→"))</x:f>
        <x:v>↑</x:v>
      </x:c>
      <x:c r="BE226" s="23" t="str">
        <x:v>Fantasy Football Brief ROS baseline; official NFL schedule</x:v>
      </x:c>
      <x:c r="BF226" s="23" t="str">
        <x:v>Current role and availability baseline; all adjustment factors shown numerically</x:v>
      </x:c>
      <x:c r="BG226" s="23" t="str">
        <x:v>Material injury, depth-chart, or role change</x:v>
      </x:c>
      <x:c r="BH226" s="24" t="str">
        <x:v>2026-09-23 10:35 CT</x:v>
      </x:c>
    </x:row>
    <x:row r="227">
      <x:c r="A227" s="12" t="str">
        <x:v>Caleb Douglas</x:v>
      </x:c>
      <x:c r="B227" s="12" t="str">
        <x:v>MIA</x:v>
      </x:c>
      <x:c r="C227" s="12" t="str">
        <x:v>WR</x:v>
      </x:c>
      <x:c r="D227" s="12" t="str">
        <x:v>KC</x:v>
      </x:c>
      <x:c r="E227" s="12" t="str">
        <x:v>Home</x:v>
      </x:c>
      <x:c r="F227" s="12" t="str">
        <x:v>2026-09-27</x:v>
      </x:c>
      <x:c r="G227" s="19" t="n">
        <x:v>1</x:v>
      </x:c>
      <x:c r="H227" s="20" t="str">
        <x:v>ACTIVE</x:v>
      </x:c>
      <x:c r="I227" s="20" t="n">
        <x:v>52</x:v>
      </x:c>
      <x:c r="J227" s="20" t="str">
        <x:v>Routes</x:v>
      </x:c>
      <x:c r="K227" s="20" t="n">
        <x:v>10.483091787439614</x:v>
      </x:c>
      <x:c r="L227" s="21" t="n">
        <x:v>0</x:v>
      </x:c>
      <x:c r="M227" s="21" t="n">
        <x:v>0</x:v>
      </x:c>
      <x:c r="N227" s="21" t="n">
        <x:v>0</x:v>
      </x:c>
      <x:c r="O227" s="21" t="n">
        <x:v>0</x:v>
      </x:c>
      <x:c r="P227" s="21" t="n">
        <x:v>0</x:v>
      </x:c>
      <x:c r="Q227" s="21" t="n">
        <x:v>0.0676328502415459</x:v>
      </x:c>
      <x:c r="R227" s="21" t="n">
        <x:v>0.6232367149758454</x:v>
      </x:c>
      <x:c r="S227" s="21" t="n">
        <x:v>0</x:v>
      </x:c>
      <x:c r="T227" s="21" t="n">
        <x:v>0</x:v>
      </x:c>
      <x:c r="U227" s="21" t="n">
        <x:v>0</x:v>
      </x:c>
      <x:c r="V227" s="21" t="n">
        <x:v>0</x:v>
      </x:c>
      <x:c r="W227" s="21" t="n">
        <x:v>2.367149758454106</x:v>
      </x:c>
      <x:c r="X227" s="21" t="n">
        <x:v>1.5217391304347827</x:v>
      </x:c>
      <x:c r="Y227" s="21" t="n">
        <x:v>18.07386473429952</x:v>
      </x:c>
      <x:c r="Z227" s="21" t="n">
        <x:v>0.10906642512077294</x:v>
      </x:c>
      <x:c r="AA227" s="21" t="n">
        <x:v>10.483091787439614</x:v>
      </x:c>
      <x:c r="AB227" s="21" t="n">
        <x:v>0.78</x:v>
      </x:c>
      <x:c r="AC227" s="21" t="n">
        <x:v>0</x:v>
      </x:c>
      <x:c r="AD227" s="21" t="n">
        <x:v>0</x:v>
      </x:c>
      <x:c r="AE227" s="21" t="n">
        <x:v>0</x:v>
      </x:c>
      <x:c r="AF227" s="21" t="n">
        <x:v>0</x:v>
      </x:c>
      <x:c r="AG227" s="21" t="n">
        <x:v>0</x:v>
      </x:c>
      <x:c r="AH227" s="21" t="n">
        <x:v>0</x:v>
      </x:c>
      <x:c r="AI227" s="21" t="n">
        <x:v>0</x:v>
      </x:c>
      <x:c r="AJ227" s="21" t="n">
        <x:v>0</x:v>
      </x:c>
      <x:c r="AK227" s="21" t="n">
        <x:v>0</x:v>
      </x:c>
      <x:c r="AL227" s="21" t="n">
        <x:v>0</x:v>
      </x:c>
      <x:c r="AM227" s="21" t="n">
        <x:v>1</x:v>
      </x:c>
      <x:c r="AN227" s="21" t="n">
        <x:v>1</x:v>
      </x:c>
      <x:c r="AO227" s="21" t="n">
        <x:v>1</x:v>
      </x:c>
      <x:c r="AP227" s="21" t="n">
        <x:v>0.97</x:v>
      </x:c>
      <x:c r="AQ227" s="21" t="n">
        <x:v>0.95</x:v>
      </x:c>
      <x:c r="AR227" s="21" t="n">
        <x:v>1</x:v>
      </x:c>
      <x:c r="AS227" s="21" t="n">
        <x:v>1</x:v>
      </x:c>
      <x:c r="AT227" s="21" t="n">
        <x:v>1</x:v>
      </x:c>
      <x:c r="AU227" s="21" t="n">
        <x:v>0</x:v>
      </x:c>
      <x:c r="AV227" s="22" t="n">
        <x:f>IF(C227="QB",N227*0.04+O227*4-P227*2+R227*0.1+S227*6,IF(OR(C227="RB",C227="WR",C227="TE"),U227*0.1+V227*6+R227*0.1+S227*6+X227*0.5+Y227*0.1+Z227*6,IF(C227="K",AC227*3+AD227*4+AE227*5+AF227,IF(C227="DST",AG227+AH227*2+AI227*6+AL227,0))))</x:f>
        <x:v>3.2849782608695657</x:v>
      </x:c>
      <x:c r="AW227" s="22" t="n">
        <x:f>(AV227+AU227)*G227</x:f>
        <x:v>3.2849782608695657</x:v>
      </x:c>
      <x:c r="AX227" s="22" t="n">
        <x:f>MAX(0,AW227*IF(C227="QB",0.68,IF(C227="RB",0.58,IF(C227="WR",0.52,IF(C227="TE",0.50,IF(C227="K",0.55,0.40))))))</x:f>
        <x:v>1.7081886956521741</x:v>
      </x:c>
      <x:c r="AY227" s="22" t="n">
        <x:f>AW227*IF(C227="QB",1.32,IF(C227="RB",1.45,IF(C227="WR",1.55,IF(C227="TE",1.60,IF(C227="K",1.45,1.65)))))</x:f>
        <x:v>5.091716304347827</x:v>
      </x:c>
      <x:c r="AZ227" s="12" t="str">
        <x:v>High</x:v>
      </x:c>
      <x:c r="BA227" s="12" t="n">
        <x:v>8</x:v>
      </x:c>
      <x:c r="BB227" s="12" t="n">
        <x:f>COUNTIFS($C$2:$C$344,C227,$AW$2:$AW$344,"&gt;"&amp;AW227,$G$2:$G$344,"&gt;0")+COUNTIFS($C$2:C227,C227,$AW$2:AW227,AW227,$G$2:G227,"&gt;0")</x:f>
        <x:v>89</x:v>
      </x:c>
      <x:c r="BC227" s="12" t="n">
        <x:v>90</x:v>
      </x:c>
      <x:c r="BD227" s="12" t="str">
        <x:f>IF(BB227&lt;BC227,"↑",IF(BB227&gt;BC227,"↓","→"))</x:f>
        <x:v>↑</x:v>
      </x:c>
      <x:c r="BE227" s="23" t="str">
        <x:v>Fantasy Football Brief ROS baseline; official NFL schedule</x:v>
      </x:c>
      <x:c r="BF227" s="23" t="str">
        <x:v>Current role and availability baseline; all adjustment factors shown numerically</x:v>
      </x:c>
      <x:c r="BG227" s="23" t="str">
        <x:v>Material injury, depth-chart, or role change</x:v>
      </x:c>
      <x:c r="BH227" s="24" t="str">
        <x:v>2026-09-23 10:35 CT</x:v>
      </x:c>
    </x:row>
    <x:row r="228">
      <x:c r="A228" s="12" t="str">
        <x:v>Jordyn Tyson</x:v>
      </x:c>
      <x:c r="B228" s="12" t="str">
        <x:v>NO</x:v>
      </x:c>
      <x:c r="C228" s="12" t="str">
        <x:v>WR</x:v>
      </x:c>
      <x:c r="D228" s="12" t="str">
        <x:v>LV</x:v>
      </x:c>
      <x:c r="E228" s="12" t="str">
        <x:v>Home</x:v>
      </x:c>
      <x:c r="F228" s="12" t="str">
        <x:v>2026-09-27</x:v>
      </x:c>
      <x:c r="G228" s="19" t="n">
        <x:v>0</x:v>
      </x:c>
      <x:c r="H228" s="20" t="str">
        <x:v>IR</x:v>
      </x:c>
      <x:c r="I228" s="20" t="n">
        <x:v>48.53333333333333</x:v>
      </x:c>
      <x:c r="J228" s="20" t="str">
        <x:v>Routes</x:v>
      </x:c>
      <x:c r="K228" s="20" t="n">
        <x:v>10.483091787439614</x:v>
      </x:c>
      <x:c r="L228" s="21" t="n">
        <x:v>0</x:v>
      </x:c>
      <x:c r="M228" s="21" t="n">
        <x:v>0</x:v>
      </x:c>
      <x:c r="N228" s="21" t="n">
        <x:v>0</x:v>
      </x:c>
      <x:c r="O228" s="21" t="n">
        <x:v>0</x:v>
      </x:c>
      <x:c r="P228" s="21" t="n">
        <x:v>0</x:v>
      </x:c>
      <x:c r="Q228" s="21" t="n">
        <x:v>0.0676328502415459</x:v>
      </x:c>
      <x:c r="R228" s="21" t="n">
        <x:v>0.6695652173913044</x:v>
      </x:c>
      <x:c r="S228" s="21" t="n">
        <x:v>0</x:v>
      </x:c>
      <x:c r="T228" s="21" t="n">
        <x:v>0</x:v>
      </x:c>
      <x:c r="U228" s="21" t="n">
        <x:v>0</x:v>
      </x:c>
      <x:c r="V228" s="21" t="n">
        <x:v>0</x:v>
      </x:c>
      <x:c r="W228" s="21" t="n">
        <x:v>2.367149758454106</x:v>
      </x:c>
      <x:c r="X228" s="21" t="n">
        <x:v>1.5217391304347827</x:v>
      </x:c>
      <x:c r="Y228" s="21" t="n">
        <x:v>19.417391304347827</x:v>
      </x:c>
      <x:c r="Z228" s="21" t="n">
        <x:v>0.11717391304347825</x:v>
      </x:c>
      <x:c r="AA228" s="21" t="n">
        <x:v>10.483091787439614</x:v>
      </x:c>
      <x:c r="AB228" s="21" t="n">
        <x:v>0.78</x:v>
      </x:c>
      <x:c r="AC228" s="21" t="n">
        <x:v>0</x:v>
      </x:c>
      <x:c r="AD228" s="21" t="n">
        <x:v>0</x:v>
      </x:c>
      <x:c r="AE228" s="21" t="n">
        <x:v>0</x:v>
      </x:c>
      <x:c r="AF228" s="21" t="n">
        <x:v>0</x:v>
      </x:c>
      <x:c r="AG228" s="21" t="n">
        <x:v>0</x:v>
      </x:c>
      <x:c r="AH228" s="21" t="n">
        <x:v>0</x:v>
      </x:c>
      <x:c r="AI228" s="21" t="n">
        <x:v>0</x:v>
      </x:c>
      <x:c r="AJ228" s="21" t="n">
        <x:v>0</x:v>
      </x:c>
      <x:c r="AK228" s="21" t="n">
        <x:v>0</x:v>
      </x:c>
      <x:c r="AL228" s="21" t="n">
        <x:v>0</x:v>
      </x:c>
      <x:c r="AM228" s="21" t="n">
        <x:v>0.9333333333333333</x:v>
      </x:c>
      <x:c r="AN228" s="21" t="n">
        <x:v>1</x:v>
      </x:c>
      <x:c r="AO228" s="21" t="n">
        <x:v>1</x:v>
      </x:c>
      <x:c r="AP228" s="21" t="n">
        <x:v>0.99</x:v>
      </x:c>
      <x:c r="AQ228" s="21" t="n">
        <x:v>1</x:v>
      </x:c>
      <x:c r="AR228" s="21" t="n">
        <x:v>1</x:v>
      </x:c>
      <x:c r="AS228" s="21" t="n">
        <x:v>1</x:v>
      </x:c>
      <x:c r="AT228" s="21" t="n">
        <x:v>1</x:v>
      </x:c>
      <x:c r="AU228" s="21" t="n">
        <x:v>0</x:v>
      </x:c>
      <x:c r="AV228" s="22" t="n">
        <x:f>IF(C228="QB",N228*0.04+O228*4-P228*2+R228*0.1+S228*6,IF(OR(C228="RB",C228="WR",C228="TE"),U228*0.1+V228*6+R228*0.1+S228*6+X228*0.5+Y228*0.1+Z228*6,IF(C228="K",AC228*3+AD228*4+AE228*5+AF228,IF(C228="DST",AG228+AH228*2+AI228*6+AL228,0))))</x:f>
        <x:v>3.4726086956521742</x:v>
      </x:c>
      <x:c r="AW228" s="22" t="n">
        <x:f>(AV228+AU228)*G228</x:f>
        <x:v>0</x:v>
      </x:c>
      <x:c r="AX228" s="22" t="n">
        <x:f>MAX(0,AW228*IF(C228="QB",0.68,IF(C228="RB",0.58,IF(C228="WR",0.52,IF(C228="TE",0.50,IF(C228="K",0.55,0.40))))))</x:f>
        <x:v>0</x:v>
      </x:c>
      <x:c r="AY228" s="22" t="n">
        <x:f>AW228*IF(C228="QB",1.32,IF(C228="RB",1.45,IF(C228="WR",1.55,IF(C228="TE",1.60,IF(C228="K",1.45,1.65)))))</x:f>
        <x:v>0</x:v>
      </x:c>
      <x:c r="AZ228" s="12" t="str">
        <x:v>High</x:v>
      </x:c>
      <x:c r="BA228" s="12" t="n">
        <x:v>8</x:v>
      </x:c>
      <x:c r="BB228" s="12"/>
      <x:c r="BC228" s="12" t="str">
        <x:v>NR</x:v>
      </x:c>
      <x:c r="BD228" s="12" t="str">
        <x:v>New</x:v>
      </x:c>
      <x:c r="BE228" s="23" t="str">
        <x:v>https://www.nbcsports.com/fantasy/football/news/2026-nfl-week-3-injury-report-jaxson-dart-mcl-chargers-down-two-tes-more-49ers-injuries</x:v>
      </x:c>
      <x:c r="BF228" s="23" t="str">
        <x:v>Denver placed Tyson on injured reserve; he is unavailable for Week 3. Conditional inputs remain visible for audit; expected Week 3 points are zero.</x:v>
      </x:c>
      <x:c r="BG228" s="23" t="str">
        <x:v>Official activation or new-team transaction</x:v>
      </x:c>
      <x:c r="BH228" s="24" t="str">
        <x:v>2026-09-24 1:18 PM CT</x:v>
      </x:c>
    </x:row>
    <x:row r="229">
      <x:c r="A229" s="12" t="str">
        <x:v>Chimere Dike</x:v>
      </x:c>
      <x:c r="B229" s="12" t="str">
        <x:v>TEN</x:v>
      </x:c>
      <x:c r="C229" s="12" t="str">
        <x:v>WR</x:v>
      </x:c>
      <x:c r="D229" s="12" t="str">
        <x:v>NYG</x:v>
      </x:c>
      <x:c r="E229" s="12" t="str">
        <x:v>Away</x:v>
      </x:c>
      <x:c r="F229" s="12" t="str">
        <x:v>2026-09-27</x:v>
      </x:c>
      <x:c r="G229" s="19" t="n">
        <x:v>1</x:v>
      </x:c>
      <x:c r="H229" s="20" t="str">
        <x:v>ACTIVE</x:v>
      </x:c>
      <x:c r="I229" s="20" t="n">
        <x:v>52</x:v>
      </x:c>
      <x:c r="J229" s="20" t="str">
        <x:v>Routes</x:v>
      </x:c>
      <x:c r="K229" s="20" t="n">
        <x:v>9.285024154589372</x:v>
      </x:c>
      <x:c r="L229" s="21" t="n">
        <x:v>0</x:v>
      </x:c>
      <x:c r="M229" s="21" t="n">
        <x:v>0</x:v>
      </x:c>
      <x:c r="N229" s="21" t="n">
        <x:v>0</x:v>
      </x:c>
      <x:c r="O229" s="21" t="n">
        <x:v>0</x:v>
      </x:c>
      <x:c r="P229" s="21" t="n">
        <x:v>0</x:v>
      </x:c>
      <x:c r="Q229" s="21" t="n">
        <x:v>0.05990338164251208</x:v>
      </x:c>
      <x:c r="R229" s="21" t="n">
        <x:v>0.5923246376811594</x:v>
      </x:c>
      <x:c r="S229" s="21" t="n">
        <x:v>0</x:v>
      </x:c>
      <x:c r="T229" s="21" t="n">
        <x:v>0</x:v>
      </x:c>
      <x:c r="U229" s="21" t="n">
        <x:v>0</x:v>
      </x:c>
      <x:c r="V229" s="21" t="n">
        <x:v>0</x:v>
      </x:c>
      <x:c r="W229" s="21" t="n">
        <x:v>2.0966183574879227</x:v>
      </x:c>
      <x:c r="X229" s="21" t="n">
        <x:v>1.3478260869565217</x:v>
      </x:c>
      <x:c r="Y229" s="21" t="n">
        <x:v>17.177414492753623</x:v>
      </x:c>
      <x:c r="Z229" s="21" t="n">
        <x:v>0.1036568115942029</x:v>
      </x:c>
      <x:c r="AA229" s="21" t="n">
        <x:v>9.285024154589372</x:v>
      </x:c>
      <x:c r="AB229" s="21" t="n">
        <x:v>0.78</x:v>
      </x:c>
      <x:c r="AC229" s="21" t="n">
        <x:v>0</x:v>
      </x:c>
      <x:c r="AD229" s="21" t="n">
        <x:v>0</x:v>
      </x:c>
      <x:c r="AE229" s="21" t="n">
        <x:v>0</x:v>
      </x:c>
      <x:c r="AF229" s="21" t="n">
        <x:v>0</x:v>
      </x:c>
      <x:c r="AG229" s="21" t="n">
        <x:v>0</x:v>
      </x:c>
      <x:c r="AH229" s="21" t="n">
        <x:v>0</x:v>
      </x:c>
      <x:c r="AI229" s="21" t="n">
        <x:v>0</x:v>
      </x:c>
      <x:c r="AJ229" s="21" t="n">
        <x:v>0</x:v>
      </x:c>
      <x:c r="AK229" s="21" t="n">
        <x:v>0</x:v>
      </x:c>
      <x:c r="AL229" s="21" t="n">
        <x:v>0</x:v>
      </x:c>
      <x:c r="AM229" s="21" t="n">
        <x:v>1</x:v>
      </x:c>
      <x:c r="AN229" s="21" t="n">
        <x:v>1</x:v>
      </x:c>
      <x:c r="AO229" s="21" t="n">
        <x:v>1</x:v>
      </x:c>
      <x:c r="AP229" s="21" t="n">
        <x:v>0.96</x:v>
      </x:c>
      <x:c r="AQ229" s="21" t="n">
        <x:v>1.03</x:v>
      </x:c>
      <x:c r="AR229" s="21" t="n">
        <x:v>1</x:v>
      </x:c>
      <x:c r="AS229" s="21" t="n">
        <x:v>1</x:v>
      </x:c>
      <x:c r="AT229" s="21" t="n">
        <x:v>1</x:v>
      </x:c>
      <x:c r="AU229" s="21" t="n">
        <x:v>0</x:v>
      </x:c>
      <x:c r="AV229" s="22" t="n">
        <x:f>IF(C229="QB",N229*0.04+O229*4-P229*2+R229*0.1+S229*6,IF(OR(C229="RB",C229="WR",C229="TE"),U229*0.1+V229*6+R229*0.1+S229*6+X229*0.5+Y229*0.1+Z229*6,IF(C229="K",AC229*3+AD229*4+AE229*5+AF229,IF(C229="DST",AG229+AH229*2+AI229*6+AL229,0))))</x:f>
        <x:v>3.0728278260869564</x:v>
      </x:c>
      <x:c r="AW229" s="22" t="n">
        <x:f>(AV229+AU229)*G229</x:f>
        <x:v>3.0728278260869564</x:v>
      </x:c>
      <x:c r="AX229" s="22" t="n">
        <x:f>MAX(0,AW229*IF(C229="QB",0.68,IF(C229="RB",0.58,IF(C229="WR",0.52,IF(C229="TE",0.50,IF(C229="K",0.55,0.40))))))</x:f>
        <x:v>1.5978704695652173</x:v>
      </x:c>
      <x:c r="AY229" s="22" t="n">
        <x:f>AW229*IF(C229="QB",1.32,IF(C229="RB",1.45,IF(C229="WR",1.55,IF(C229="TE",1.60,IF(C229="K",1.45,1.65)))))</x:f>
        <x:v>4.7628831304347825</x:v>
      </x:c>
      <x:c r="AZ229" s="12" t="str">
        <x:v>High</x:v>
      </x:c>
      <x:c r="BA229" s="12" t="n">
        <x:v>8</x:v>
      </x:c>
      <x:c r="BB229" s="12" t="n">
        <x:f>COUNTIFS($C$2:$C$344,C229,$AW$2:$AW$344,"&gt;"&amp;AW229,$G$2:$G$344,"&gt;0")+COUNTIFS($C$2:C229,C229,$AW$2:AW229,AW229,$G$2:G229,"&gt;0")</x:f>
        <x:v>91</x:v>
      </x:c>
      <x:c r="BC229" s="12" t="n">
        <x:v>91</x:v>
      </x:c>
      <x:c r="BD229" s="12" t="str">
        <x:f>IF(BB229&lt;BC229,"↑",IF(BB229&gt;BC229,"↓","→"))</x:f>
        <x:v>→</x:v>
      </x:c>
      <x:c r="BE229" s="23" t="str">
        <x:v>Fantasy Football Brief ROS baseline; official NFL schedule</x:v>
      </x:c>
      <x:c r="BF229" s="23" t="str">
        <x:v>Current role and availability baseline; all adjustment factors shown numerically</x:v>
      </x:c>
      <x:c r="BG229" s="23" t="str">
        <x:v>Material injury, depth-chart, or role change</x:v>
      </x:c>
      <x:c r="BH229" s="24" t="str">
        <x:v>2026-09-23 10:35 CT</x:v>
      </x:c>
    </x:row>
    <x:row r="230">
      <x:c r="A230" s="12" t="str">
        <x:v>DeMario Douglas</x:v>
      </x:c>
      <x:c r="B230" s="12" t="str">
        <x:v>NE</x:v>
      </x:c>
      <x:c r="C230" s="12" t="str">
        <x:v>WR</x:v>
      </x:c>
      <x:c r="D230" s="12" t="str">
        <x:v>JAX</x:v>
      </x:c>
      <x:c r="E230" s="12" t="str">
        <x:v>Away</x:v>
      </x:c>
      <x:c r="F230" s="12" t="str">
        <x:v>2026-09-27</x:v>
      </x:c>
      <x:c r="G230" s="19" t="n">
        <x:v>1</x:v>
      </x:c>
      <x:c r="H230" s="20" t="str">
        <x:v>ACTIVE</x:v>
      </x:c>
      <x:c r="I230" s="20" t="n">
        <x:v>52</x:v>
      </x:c>
      <x:c r="J230" s="20" t="str">
        <x:v>Routes</x:v>
      </x:c>
      <x:c r="K230" s="20" t="n">
        <x:v>8.985507246376812</x:v>
      </x:c>
      <x:c r="L230" s="21" t="n">
        <x:v>0</x:v>
      </x:c>
      <x:c r="M230" s="21" t="n">
        <x:v>0</x:v>
      </x:c>
      <x:c r="N230" s="21" t="n">
        <x:v>0</x:v>
      </x:c>
      <x:c r="O230" s="21" t="n">
        <x:v>0</x:v>
      </x:c>
      <x:c r="P230" s="21" t="n">
        <x:v>0</x:v>
      </x:c>
      <x:c r="Q230" s="21" t="n">
        <x:v>0.05797101449275363</x:v>
      </x:c>
      <x:c r="R230" s="21" t="n">
        <x:v>0.5794782608695652</x:v>
      </x:c>
      <x:c r="S230" s="21" t="n">
        <x:v>0</x:v>
      </x:c>
      <x:c r="T230" s="21" t="n">
        <x:v>0</x:v>
      </x:c>
      <x:c r="U230" s="21" t="n">
        <x:v>0</x:v>
      </x:c>
      <x:c r="V230" s="21" t="n">
        <x:v>0</x:v>
      </x:c>
      <x:c r="W230" s="21" t="n">
        <x:v>2.028985507246377</x:v>
      </x:c>
      <x:c r="X230" s="21" t="n">
        <x:v>1.3043478260869565</x:v>
      </x:c>
      <x:c r="Y230" s="21" t="n">
        <x:v>16.80486956521739</x:v>
      </x:c>
      <x:c r="Z230" s="21" t="n">
        <x:v>0.1014086956521739</x:v>
      </x:c>
      <x:c r="AA230" s="21" t="n">
        <x:v>8.985507246376812</x:v>
      </x:c>
      <x:c r="AB230" s="21" t="n">
        <x:v>0.78</x:v>
      </x:c>
      <x:c r="AC230" s="21" t="n">
        <x:v>0</x:v>
      </x:c>
      <x:c r="AD230" s="21" t="n">
        <x:v>0</x:v>
      </x:c>
      <x:c r="AE230" s="21" t="n">
        <x:v>0</x:v>
      </x:c>
      <x:c r="AF230" s="21" t="n">
        <x:v>0</x:v>
      </x:c>
      <x:c r="AG230" s="21" t="n">
        <x:v>0</x:v>
      </x:c>
      <x:c r="AH230" s="21" t="n">
        <x:v>0</x:v>
      </x:c>
      <x:c r="AI230" s="21" t="n">
        <x:v>0</x:v>
      </x:c>
      <x:c r="AJ230" s="21" t="n">
        <x:v>0</x:v>
      </x:c>
      <x:c r="AK230" s="21" t="n">
        <x:v>0</x:v>
      </x:c>
      <x:c r="AL230" s="21" t="n">
        <x:v>0</x:v>
      </x:c>
      <x:c r="AM230" s="21" t="n">
        <x:v>1</x:v>
      </x:c>
      <x:c r="AN230" s="21" t="n">
        <x:v>1</x:v>
      </x:c>
      <x:c r="AO230" s="21" t="n">
        <x:v>1</x:v>
      </x:c>
      <x:c r="AP230" s="21" t="n">
        <x:v>0.98</x:v>
      </x:c>
      <x:c r="AQ230" s="21" t="n">
        <x:v>1.02</x:v>
      </x:c>
      <x:c r="AR230" s="21" t="n">
        <x:v>1</x:v>
      </x:c>
      <x:c r="AS230" s="21" t="n">
        <x:v>1</x:v>
      </x:c>
      <x:c r="AT230" s="21" t="n">
        <x:v>1</x:v>
      </x:c>
      <x:c r="AU230" s="21" t="n">
        <x:v>0</x:v>
      </x:c>
      <x:c r="AV230" s="22" t="n">
        <x:f>IF(C230="QB",N230*0.04+O230*4-P230*2+R230*0.1+S230*6,IF(OR(C230="RB",C230="WR",C230="TE"),U230*0.1+V230*6+R230*0.1+S230*6+X230*0.5+Y230*0.1+Z230*6,IF(C230="K",AC230*3+AD230*4+AE230*5+AF230,IF(C230="DST",AG230+AH230*2+AI230*6+AL230,0))))</x:f>
        <x:v>2.9990608695652172</x:v>
      </x:c>
      <x:c r="AW230" s="22" t="n">
        <x:f>(AV230+AU230)*G230</x:f>
        <x:v>2.9990608695652172</x:v>
      </x:c>
      <x:c r="AX230" s="22" t="n">
        <x:f>MAX(0,AW230*IF(C230="QB",0.68,IF(C230="RB",0.58,IF(C230="WR",0.52,IF(C230="TE",0.50,IF(C230="K",0.55,0.40))))))</x:f>
        <x:v>1.559511652173913</x:v>
      </x:c>
      <x:c r="AY230" s="22" t="n">
        <x:f>AW230*IF(C230="QB",1.32,IF(C230="RB",1.45,IF(C230="WR",1.55,IF(C230="TE",1.60,IF(C230="K",1.45,1.65)))))</x:f>
        <x:v>4.648544347826086</x:v>
      </x:c>
      <x:c r="AZ230" s="12" t="str">
        <x:v>High</x:v>
      </x:c>
      <x:c r="BA230" s="12" t="n">
        <x:v>8</x:v>
      </x:c>
      <x:c r="BB230" s="12" t="n">
        <x:f>COUNTIFS($C$2:$C$344,C230,$AW$2:$AW$344,"&gt;"&amp;AW230,$G$2:$G$344,"&gt;0")+COUNTIFS($C$2:C230,C230,$AW$2:AW230,AW230,$G$2:G230,"&gt;0")</x:f>
        <x:v>92</x:v>
      </x:c>
      <x:c r="BC230" s="12" t="n">
        <x:v>92</x:v>
      </x:c>
      <x:c r="BD230" s="12" t="str">
        <x:f>IF(BB230&lt;BC230,"↑",IF(BB230&gt;BC230,"↓","→"))</x:f>
        <x:v>→</x:v>
      </x:c>
      <x:c r="BE230" s="23" t="str">
        <x:v>Fantasy Football Brief ROS baseline; official NFL schedule</x:v>
      </x:c>
      <x:c r="BF230" s="23" t="str">
        <x:v>Current role and availability baseline; all adjustment factors shown numerically</x:v>
      </x:c>
      <x:c r="BG230" s="23" t="str">
        <x:v>Material injury, depth-chart, or role change</x:v>
      </x:c>
      <x:c r="BH230" s="24" t="str">
        <x:v>2026-09-23 10:35 CT</x:v>
      </x:c>
    </x:row>
    <x:row r="231">
      <x:c r="A231" s="12" t="str">
        <x:v>Kevin Coleman Jr.</x:v>
      </x:c>
      <x:c r="B231" s="12" t="str">
        <x:v>MIA</x:v>
      </x:c>
      <x:c r="C231" s="12" t="str">
        <x:v>WR</x:v>
      </x:c>
      <x:c r="D231" s="12" t="str">
        <x:v>KC</x:v>
      </x:c>
      <x:c r="E231" s="12" t="str">
        <x:v>Home</x:v>
      </x:c>
      <x:c r="F231" s="12" t="str">
        <x:v>2026-09-27</x:v>
      </x:c>
      <x:c r="G231" s="19" t="n">
        <x:v>1</x:v>
      </x:c>
      <x:c r="H231" s="20" t="str">
        <x:v>ACTIVE</x:v>
      </x:c>
      <x:c r="I231" s="20" t="n">
        <x:v>52</x:v>
      </x:c>
      <x:c r="J231" s="20" t="str">
        <x:v>Routes</x:v>
      </x:c>
      <x:c r="K231" s="20" t="n">
        <x:v>9.285024154589372</x:v>
      </x:c>
      <x:c r="L231" s="21" t="n">
        <x:v>0</x:v>
      </x:c>
      <x:c r="M231" s="21" t="n">
        <x:v>0</x:v>
      </x:c>
      <x:c r="N231" s="21" t="n">
        <x:v>0</x:v>
      </x:c>
      <x:c r="O231" s="21" t="n">
        <x:v>0</x:v>
      </x:c>
      <x:c r="P231" s="21" t="n">
        <x:v>0</x:v>
      </x:c>
      <x:c r="Q231" s="21" t="n">
        <x:v>0.05990338164251208</x:v>
      </x:c>
      <x:c r="R231" s="21" t="n">
        <x:v>0.5520096618357487</x:v>
      </x:c>
      <x:c r="S231" s="21" t="n">
        <x:v>0</x:v>
      </x:c>
      <x:c r="T231" s="21" t="n">
        <x:v>0</x:v>
      </x:c>
      <x:c r="U231" s="21" t="n">
        <x:v>0</x:v>
      </x:c>
      <x:c r="V231" s="21" t="n">
        <x:v>0</x:v>
      </x:c>
      <x:c r="W231" s="21" t="n">
        <x:v>2.0966183574879227</x:v>
      </x:c>
      <x:c r="X231" s="21" t="n">
        <x:v>1.3478260869565217</x:v>
      </x:c>
      <x:c r="Y231" s="21" t="n">
        <x:v>16.008280193236715</x:v>
      </x:c>
      <x:c r="Z231" s="21" t="n">
        <x:v>0.09660169082125604</x:v>
      </x:c>
      <x:c r="AA231" s="21" t="n">
        <x:v>9.285024154589372</x:v>
      </x:c>
      <x:c r="AB231" s="21" t="n">
        <x:v>0.78</x:v>
      </x:c>
      <x:c r="AC231" s="21" t="n">
        <x:v>0</x:v>
      </x:c>
      <x:c r="AD231" s="21" t="n">
        <x:v>0</x:v>
      </x:c>
      <x:c r="AE231" s="21" t="n">
        <x:v>0</x:v>
      </x:c>
      <x:c r="AF231" s="21" t="n">
        <x:v>0</x:v>
      </x:c>
      <x:c r="AG231" s="21" t="n">
        <x:v>0</x:v>
      </x:c>
      <x:c r="AH231" s="21" t="n">
        <x:v>0</x:v>
      </x:c>
      <x:c r="AI231" s="21" t="n">
        <x:v>0</x:v>
      </x:c>
      <x:c r="AJ231" s="21" t="n">
        <x:v>0</x:v>
      </x:c>
      <x:c r="AK231" s="21" t="n">
        <x:v>0</x:v>
      </x:c>
      <x:c r="AL231" s="21" t="n">
        <x:v>0</x:v>
      </x:c>
      <x:c r="AM231" s="21" t="n">
        <x:v>1</x:v>
      </x:c>
      <x:c r="AN231" s="21" t="n">
        <x:v>1</x:v>
      </x:c>
      <x:c r="AO231" s="21" t="n">
        <x:v>1</x:v>
      </x:c>
      <x:c r="AP231" s="21" t="n">
        <x:v>0.97</x:v>
      </x:c>
      <x:c r="AQ231" s="21" t="n">
        <x:v>0.95</x:v>
      </x:c>
      <x:c r="AR231" s="21" t="n">
        <x:v>1</x:v>
      </x:c>
      <x:c r="AS231" s="21" t="n">
        <x:v>1</x:v>
      </x:c>
      <x:c r="AT231" s="21" t="n">
        <x:v>1</x:v>
      </x:c>
      <x:c r="AU231" s="21" t="n">
        <x:v>0</x:v>
      </x:c>
      <x:c r="AV231" s="22" t="n">
        <x:f>IF(C231="QB",N231*0.04+O231*4-P231*2+R231*0.1+S231*6,IF(OR(C231="RB",C231="WR",C231="TE"),U231*0.1+V231*6+R231*0.1+S231*6+X231*0.5+Y231*0.1+Z231*6,IF(C231="K",AC231*3+AD231*4+AE231*5+AF231,IF(C231="DST",AG231+AH231*2+AI231*6+AL231,0))))</x:f>
        <x:v>2.9095521739130437</x:v>
      </x:c>
      <x:c r="AW231" s="22" t="n">
        <x:f>(AV231+AU231)*G231</x:f>
        <x:v>2.9095521739130437</x:v>
      </x:c>
      <x:c r="AX231" s="22" t="n">
        <x:f>MAX(0,AW231*IF(C231="QB",0.68,IF(C231="RB",0.58,IF(C231="WR",0.52,IF(C231="TE",0.50,IF(C231="K",0.55,0.40))))))</x:f>
        <x:v>1.5129671304347827</x:v>
      </x:c>
      <x:c r="AY231" s="22" t="n">
        <x:f>AW231*IF(C231="QB",1.32,IF(C231="RB",1.45,IF(C231="WR",1.55,IF(C231="TE",1.60,IF(C231="K",1.45,1.65)))))</x:f>
        <x:v>4.509805869565218</x:v>
      </x:c>
      <x:c r="AZ231" s="12" t="str">
        <x:v>High</x:v>
      </x:c>
      <x:c r="BA231" s="12" t="n">
        <x:v>9</x:v>
      </x:c>
      <x:c r="BB231" s="12" t="n">
        <x:f>COUNTIFS($C$2:$C$344,C231,$AW$2:$AW$344,"&gt;"&amp;AW231,$G$2:$G$344,"&gt;0")+COUNTIFS($C$2:C231,C231,$AW$2:AW231,AW231,$G$2:G231,"&gt;0")</x:f>
        <x:v>93</x:v>
      </x:c>
      <x:c r="BC231" s="12" t="n">
        <x:v>93</x:v>
      </x:c>
      <x:c r="BD231" s="12" t="str">
        <x:f>IF(BB231&lt;BC231,"↑",IF(BB231&gt;BC231,"↓","→"))</x:f>
        <x:v>→</x:v>
      </x:c>
      <x:c r="BE231" s="23" t="str">
        <x:v>Fantasy Football Brief ROS baseline; official NFL schedule</x:v>
      </x:c>
      <x:c r="BF231" s="23" t="str">
        <x:v>Current role and availability baseline; all adjustment factors shown numerically</x:v>
      </x:c>
      <x:c r="BG231" s="23" t="str">
        <x:v>Material injury, depth-chart, or role change</x:v>
      </x:c>
      <x:c r="BH231" s="24" t="str">
        <x:v>2026-09-23 10:35 CT</x:v>
      </x:c>
    </x:row>
    <x:row r="232">
      <x:c r="A232" s="12" t="str">
        <x:v>Ja'Kobi Lane</x:v>
      </x:c>
      <x:c r="B232" s="12" t="str">
        <x:v>BAL</x:v>
      </x:c>
      <x:c r="C232" s="12" t="str">
        <x:v>WR</x:v>
      </x:c>
      <x:c r="D232" s="12" t="str">
        <x:v>DAL</x:v>
      </x:c>
      <x:c r="E232" s="12" t="str">
        <x:v>Away</x:v>
      </x:c>
      <x:c r="F232" s="12" t="str">
        <x:v>2026-09-27</x:v>
      </x:c>
      <x:c r="G232" s="19" t="n">
        <x:v>0</x:v>
      </x:c>
      <x:c r="H232" s="20" t="str">
        <x:v>IR</x:v>
      </x:c>
      <x:c r="I232" s="20" t="n">
        <x:v>38.13333333333333</x:v>
      </x:c>
      <x:c r="J232" s="20" t="str">
        <x:v>Routes</x:v>
      </x:c>
      <x:c r="K232" s="20" t="n">
        <x:v>11.082125603864736</x:v>
      </x:c>
      <x:c r="L232" s="21" t="n">
        <x:v>0</x:v>
      </x:c>
      <x:c r="M232" s="21" t="n">
        <x:v>0</x:v>
      </x:c>
      <x:c r="N232" s="21" t="n">
        <x:v>0</x:v>
      </x:c>
      <x:c r="O232" s="21" t="n">
        <x:v>0</x:v>
      </x:c>
      <x:c r="P232" s="21" t="n">
        <x:v>0</x:v>
      </x:c>
      <x:c r="Q232" s="21" t="n">
        <x:v>0.07149758454106281</x:v>
      </x:c>
      <x:c r="R232" s="21" t="n">
        <x:v>0.7807536231884059</x:v>
      </x:c>
      <x:c r="S232" s="21" t="n">
        <x:v>0</x:v>
      </x:c>
      <x:c r="T232" s="21" t="n">
        <x:v>0</x:v>
      </x:c>
      <x:c r="U232" s="21" t="n">
        <x:v>0</x:v>
      </x:c>
      <x:c r="V232" s="21" t="n">
        <x:v>0</x:v>
      </x:c>
      <x:c r="W232" s="21" t="n">
        <x:v>2.5024154589371985</x:v>
      </x:c>
      <x:c r="X232" s="21" t="n">
        <x:v>1.608695652173913</x:v>
      </x:c>
      <x:c r="Y232" s="21" t="n">
        <x:v>22.641855072463773</x:v>
      </x:c>
      <x:c r="Z232" s="21" t="n">
        <x:v>0.13663188405797103</x:v>
      </x:c>
      <x:c r="AA232" s="21" t="n">
        <x:v>11.082125603864736</x:v>
      </x:c>
      <x:c r="AB232" s="21" t="n">
        <x:v>0.78</x:v>
      </x:c>
      <x:c r="AC232" s="21" t="n">
        <x:v>0</x:v>
      </x:c>
      <x:c r="AD232" s="21" t="n">
        <x:v>0</x:v>
      </x:c>
      <x:c r="AE232" s="21" t="n">
        <x:v>0</x:v>
      </x:c>
      <x:c r="AF232" s="21" t="n">
        <x:v>0</x:v>
      </x:c>
      <x:c r="AG232" s="21" t="n">
        <x:v>0</x:v>
      </x:c>
      <x:c r="AH232" s="21" t="n">
        <x:v>0</x:v>
      </x:c>
      <x:c r="AI232" s="21" t="n">
        <x:v>0</x:v>
      </x:c>
      <x:c r="AJ232" s="21" t="n">
        <x:v>0</x:v>
      </x:c>
      <x:c r="AK232" s="21" t="n">
        <x:v>0</x:v>
      </x:c>
      <x:c r="AL232" s="21" t="n">
        <x:v>0</x:v>
      </x:c>
      <x:c r="AM232" s="21" t="n">
        <x:v>0.7333333333333333</x:v>
      </x:c>
      <x:c r="AN232" s="21" t="n">
        <x:v>1</x:v>
      </x:c>
      <x:c r="AO232" s="21" t="n">
        <x:v>1</x:v>
      </x:c>
      <x:c r="AP232" s="21" t="n">
        <x:v>1.04</x:v>
      </x:c>
      <x:c r="AQ232" s="21" t="n">
        <x:v>1.05</x:v>
      </x:c>
      <x:c r="AR232" s="21" t="n">
        <x:v>1</x:v>
      </x:c>
      <x:c r="AS232" s="21" t="n">
        <x:v>1</x:v>
      </x:c>
      <x:c r="AT232" s="21" t="n">
        <x:v>1</x:v>
      </x:c>
      <x:c r="AU232" s="21" t="n">
        <x:v>0</x:v>
      </x:c>
      <x:c r="AV232" s="22" t="n">
        <x:f>IF(C232="QB",N232*0.04+O232*4-P232*2+R232*0.1+S232*6,IF(OR(C232="RB",C232="WR",C232="TE"),U232*0.1+V232*6+R232*0.1+S232*6+X232*0.5+Y232*0.1+Z232*6,IF(C232="K",AC232*3+AD232*4+AE232*5+AF232,IF(C232="DST",AG232+AH232*2+AI232*6+AL232,0))))</x:f>
        <x:v>3.966400000000001</x:v>
      </x:c>
      <x:c r="AW232" s="22" t="n">
        <x:f>(AV232+AU232)*G232</x:f>
        <x:v>0</x:v>
      </x:c>
      <x:c r="AX232" s="22" t="n">
        <x:f>MAX(0,AW232*IF(C232="QB",0.68,IF(C232="RB",0.58,IF(C232="WR",0.52,IF(C232="TE",0.50,IF(C232="K",0.55,0.40))))))</x:f>
        <x:v>0</x:v>
      </x:c>
      <x:c r="AY232" s="22" t="n">
        <x:f>AW232*IF(C232="QB",1.32,IF(C232="RB",1.45,IF(C232="WR",1.55,IF(C232="TE",1.60,IF(C232="K",1.45,1.65)))))</x:f>
        <x:v>0</x:v>
      </x:c>
      <x:c r="AZ232" s="12" t="str">
        <x:v>High</x:v>
      </x:c>
      <x:c r="BA232" s="12" t="n">
        <x:v>9</x:v>
      </x:c>
      <x:c r="BB232" s="12"/>
      <x:c r="BC232" s="12" t="str">
        <x:v>NR</x:v>
      </x:c>
      <x:c r="BD232" s="12" t="str">
        <x:v>New</x:v>
      </x:c>
      <x:c r="BE232" s="23" t="str">
        <x:v>https://www.nbcsports.com/fantasy/football/news/2026-nfl-week-3-injury-report-jaxson-dart-mcl-chargers-down-two-tes-more-49ers-injuries</x:v>
      </x:c>
      <x:c r="BF232" s="23" t="str">
        <x:v>Philadelphia placed Lane on injured reserve; he is unavailable for Week 3. Conditional inputs remain visible for audit; expected Week 3 points are zero.</x:v>
      </x:c>
      <x:c r="BG232" s="23" t="str">
        <x:v>Official activation or new-team transaction</x:v>
      </x:c>
      <x:c r="BH232" s="24" t="str">
        <x:v>2026-09-24 1:18 PM CT</x:v>
      </x:c>
    </x:row>
    <x:row r="233">
      <x:c r="A233" s="12" t="str">
        <x:v>Keon Coleman</x:v>
      </x:c>
      <x:c r="B233" s="12" t="str">
        <x:v>BUF</x:v>
      </x:c>
      <x:c r="C233" s="12" t="str">
        <x:v>WR</x:v>
      </x:c>
      <x:c r="D233" s="12" t="str">
        <x:v>LAC</x:v>
      </x:c>
      <x:c r="E233" s="12" t="str">
        <x:v>Home</x:v>
      </x:c>
      <x:c r="F233" s="12" t="str">
        <x:v>2026-09-27</x:v>
      </x:c>
      <x:c r="G233" s="19" t="n">
        <x:v>1</x:v>
      </x:c>
      <x:c r="H233" s="20" t="str">
        <x:v>ACTIVE</x:v>
      </x:c>
      <x:c r="I233" s="20" t="n">
        <x:v>52</x:v>
      </x:c>
      <x:c r="J233" s="20" t="str">
        <x:v>Routes</x:v>
      </x:c>
      <x:c r="K233" s="20" t="n">
        <x:v>8.38647342995169</x:v>
      </x:c>
      <x:c r="L233" s="21" t="n">
        <x:v>0</x:v>
      </x:c>
      <x:c r="M233" s="21" t="n">
        <x:v>0</x:v>
      </x:c>
      <x:c r="N233" s="21" t="n">
        <x:v>0</x:v>
      </x:c>
      <x:c r="O233" s="21" t="n">
        <x:v>0</x:v>
      </x:c>
      <x:c r="P233" s="21" t="n">
        <x:v>0</x:v>
      </x:c>
      <x:c r="Q233" s="21" t="n">
        <x:v>0.05410628019323671</x:v>
      </x:c>
      <x:c r="R233" s="21" t="n">
        <x:v>0.5514512077294687</x:v>
      </x:c>
      <x:c r="S233" s="21" t="n">
        <x:v>0</x:v>
      </x:c>
      <x:c r="T233" s="21" t="n">
        <x:v>0</x:v>
      </x:c>
      <x:c r="U233" s="21" t="n">
        <x:v>0</x:v>
      </x:c>
      <x:c r="V233" s="21" t="n">
        <x:v>0</x:v>
      </x:c>
      <x:c r="W233" s="21" t="n">
        <x:v>1.893719806763285</x:v>
      </x:c>
      <x:c r="X233" s="21" t="n">
        <x:v>1.217391304347826</x:v>
      </x:c>
      <x:c r="Y233" s="21" t="n">
        <x:v>15.992085024154589</x:v>
      </x:c>
      <x:c r="Z233" s="21" t="n">
        <x:v>0.09650396135265701</x:v>
      </x:c>
      <x:c r="AA233" s="21" t="n">
        <x:v>8.38647342995169</x:v>
      </x:c>
      <x:c r="AB233" s="21" t="n">
        <x:v>0.78</x:v>
      </x:c>
      <x:c r="AC233" s="21" t="n">
        <x:v>0</x:v>
      </x:c>
      <x:c r="AD233" s="21" t="n">
        <x:v>0</x:v>
      </x:c>
      <x:c r="AE233" s="21" t="n">
        <x:v>0</x:v>
      </x:c>
      <x:c r="AF233" s="21" t="n">
        <x:v>0</x:v>
      </x:c>
      <x:c r="AG233" s="21" t="n">
        <x:v>0</x:v>
      </x:c>
      <x:c r="AH233" s="21" t="n">
        <x:v>0</x:v>
      </x:c>
      <x:c r="AI233" s="21" t="n">
        <x:v>0</x:v>
      </x:c>
      <x:c r="AJ233" s="21" t="n">
        <x:v>0</x:v>
      </x:c>
      <x:c r="AK233" s="21" t="n">
        <x:v>0</x:v>
      </x:c>
      <x:c r="AL233" s="21" t="n">
        <x:v>0</x:v>
      </x:c>
      <x:c r="AM233" s="21" t="n">
        <x:v>1</x:v>
      </x:c>
      <x:c r="AN233" s="21" t="n">
        <x:v>1</x:v>
      </x:c>
      <x:c r="AO233" s="21" t="n">
        <x:v>1</x:v>
      </x:c>
      <x:c r="AP233" s="21" t="n">
        <x:v>1.04</x:v>
      </x:c>
      <x:c r="AQ233" s="21" t="n">
        <x:v>0.98</x:v>
      </x:c>
      <x:c r="AR233" s="21" t="n">
        <x:v>1</x:v>
      </x:c>
      <x:c r="AS233" s="21" t="n">
        <x:v>1</x:v>
      </x:c>
      <x:c r="AT233" s="21" t="n">
        <x:v>1</x:v>
      </x:c>
      <x:c r="AU233" s="21" t="n">
        <x:v>0</x:v>
      </x:c>
      <x:c r="AV233" s="22" t="n">
        <x:f>IF(C233="QB",N233*0.04+O233*4-P233*2+R233*0.1+S233*6,IF(OR(C233="RB",C233="WR",C233="TE"),U233*0.1+V233*6+R233*0.1+S233*6+X233*0.5+Y233*0.1+Z233*6,IF(C233="K",AC233*3+AD233*4+AE233*5+AF233,IF(C233="DST",AG233+AH233*2+AI233*6+AL233,0))))</x:f>
        <x:v>2.842073043478261</x:v>
      </x:c>
      <x:c r="AW233" s="22" t="n">
        <x:f>(AV233+AU233)*G233</x:f>
        <x:v>2.842073043478261</x:v>
      </x:c>
      <x:c r="AX233" s="22" t="n">
        <x:f>MAX(0,AW233*IF(C233="QB",0.68,IF(C233="RB",0.58,IF(C233="WR",0.52,IF(C233="TE",0.50,IF(C233="K",0.55,0.40))))))</x:f>
        <x:v>1.4778779826086959</x:v>
      </x:c>
      <x:c r="AY233" s="22" t="n">
        <x:f>AW233*IF(C233="QB",1.32,IF(C233="RB",1.45,IF(C233="WR",1.55,IF(C233="TE",1.60,IF(C233="K",1.45,1.65)))))</x:f>
        <x:v>4.405213217391305</x:v>
      </x:c>
      <x:c r="AZ233" s="12" t="str">
        <x:v>High</x:v>
      </x:c>
      <x:c r="BA233" s="12" t="n">
        <x:v>9</x:v>
      </x:c>
      <x:c r="BB233" s="12" t="n">
        <x:f>COUNTIFS($C$2:$C$344,C233,$AW$2:$AW$344,"&gt;"&amp;AW233,$G$2:$G$344,"&gt;0")+COUNTIFS($C$2:C233,C233,$AW$2:AW233,AW233,$G$2:G233,"&gt;0")</x:f>
        <x:v>94</x:v>
      </x:c>
      <x:c r="BC233" s="12" t="n">
        <x:v>94</x:v>
      </x:c>
      <x:c r="BD233" s="12" t="str">
        <x:f>IF(BB233&lt;BC233,"↑",IF(BB233&gt;BC233,"↓","→"))</x:f>
        <x:v>→</x:v>
      </x:c>
      <x:c r="BE233" s="23" t="str">
        <x:v>Fantasy Football Brief ROS baseline; official NFL schedule</x:v>
      </x:c>
      <x:c r="BF233" s="23" t="str">
        <x:v>Current role and availability baseline; all adjustment factors shown numerically</x:v>
      </x:c>
      <x:c r="BG233" s="23" t="str">
        <x:v>Material injury, depth-chart, or role change</x:v>
      </x:c>
      <x:c r="BH233" s="24" t="str">
        <x:v>2026-09-23 10:35 CT</x:v>
      </x:c>
    </x:row>
    <x:row r="234">
      <x:c r="A234" s="12" t="str">
        <x:v>Skyler Bell</x:v>
      </x:c>
      <x:c r="B234" s="12" t="str">
        <x:v>BUF</x:v>
      </x:c>
      <x:c r="C234" s="12" t="str">
        <x:v>WR</x:v>
      </x:c>
      <x:c r="D234" s="12" t="str">
        <x:v>LAC</x:v>
      </x:c>
      <x:c r="E234" s="12" t="str">
        <x:v>Home</x:v>
      </x:c>
      <x:c r="F234" s="12" t="str">
        <x:v>2026-09-27</x:v>
      </x:c>
      <x:c r="G234" s="19" t="n">
        <x:v>0.9333333333333333</x:v>
      </x:c>
      <x:c r="H234" s="20" t="str">
        <x:v>ACTIVE</x:v>
      </x:c>
      <x:c r="I234" s="20" t="n">
        <x:v>48.53333333333333</x:v>
      </x:c>
      <x:c r="J234" s="20" t="str">
        <x:v>Routes</x:v>
      </x:c>
      <x:c r="K234" s="20" t="n">
        <x:v>8.38647342995169</x:v>
      </x:c>
      <x:c r="L234" s="21" t="n">
        <x:v>0</x:v>
      </x:c>
      <x:c r="M234" s="21" t="n">
        <x:v>0</x:v>
      </x:c>
      <x:c r="N234" s="21" t="n">
        <x:v>0</x:v>
      </x:c>
      <x:c r="O234" s="21" t="n">
        <x:v>0</x:v>
      </x:c>
      <x:c r="P234" s="21" t="n">
        <x:v>0</x:v>
      </x:c>
      <x:c r="Q234" s="21" t="n">
        <x:v>0.05410628019323671</x:v>
      </x:c>
      <x:c r="R234" s="21" t="n">
        <x:v>0.5514512077294687</x:v>
      </x:c>
      <x:c r="S234" s="21" t="n">
        <x:v>0</x:v>
      </x:c>
      <x:c r="T234" s="21" t="n">
        <x:v>0</x:v>
      </x:c>
      <x:c r="U234" s="21" t="n">
        <x:v>0</x:v>
      </x:c>
      <x:c r="V234" s="21" t="n">
        <x:v>0</x:v>
      </x:c>
      <x:c r="W234" s="21" t="n">
        <x:v>1.893719806763285</x:v>
      </x:c>
      <x:c r="X234" s="21" t="n">
        <x:v>1.217391304347826</x:v>
      </x:c>
      <x:c r="Y234" s="21" t="n">
        <x:v>15.992085024154589</x:v>
      </x:c>
      <x:c r="Z234" s="21" t="n">
        <x:v>0.09650396135265701</x:v>
      </x:c>
      <x:c r="AA234" s="21" t="n">
        <x:v>8.38647342995169</x:v>
      </x:c>
      <x:c r="AB234" s="21" t="n">
        <x:v>0.78</x:v>
      </x:c>
      <x:c r="AC234" s="21" t="n">
        <x:v>0</x:v>
      </x:c>
      <x:c r="AD234" s="21" t="n">
        <x:v>0</x:v>
      </x:c>
      <x:c r="AE234" s="21" t="n">
        <x:v>0</x:v>
      </x:c>
      <x:c r="AF234" s="21" t="n">
        <x:v>0</x:v>
      </x:c>
      <x:c r="AG234" s="21" t="n">
        <x:v>0</x:v>
      </x:c>
      <x:c r="AH234" s="21" t="n">
        <x:v>0</x:v>
      </x:c>
      <x:c r="AI234" s="21" t="n">
        <x:v>0</x:v>
      </x:c>
      <x:c r="AJ234" s="21" t="n">
        <x:v>0</x:v>
      </x:c>
      <x:c r="AK234" s="21" t="n">
        <x:v>0</x:v>
      </x:c>
      <x:c r="AL234" s="21" t="n">
        <x:v>0</x:v>
      </x:c>
      <x:c r="AM234" s="21" t="n">
        <x:v>0.9333333333333333</x:v>
      </x:c>
      <x:c r="AN234" s="21" t="n">
        <x:v>1</x:v>
      </x:c>
      <x:c r="AO234" s="21" t="n">
        <x:v>1</x:v>
      </x:c>
      <x:c r="AP234" s="21" t="n">
        <x:v>1.04</x:v>
      </x:c>
      <x:c r="AQ234" s="21" t="n">
        <x:v>0.98</x:v>
      </x:c>
      <x:c r="AR234" s="21" t="n">
        <x:v>1</x:v>
      </x:c>
      <x:c r="AS234" s="21" t="n">
        <x:v>1</x:v>
      </x:c>
      <x:c r="AT234" s="21" t="n">
        <x:v>1</x:v>
      </x:c>
      <x:c r="AU234" s="21" t="n">
        <x:v>0</x:v>
      </x:c>
      <x:c r="AV234" s="22" t="n">
        <x:f>IF(C234="QB",N234*0.04+O234*4-P234*2+R234*0.1+S234*6,IF(OR(C234="RB",C234="WR",C234="TE"),U234*0.1+V234*6+R234*0.1+S234*6+X234*0.5+Y234*0.1+Z234*6,IF(C234="K",AC234*3+AD234*4+AE234*5+AF234,IF(C234="DST",AG234+AH234*2+AI234*6+AL234,0))))</x:f>
        <x:v>2.842073043478261</x:v>
      </x:c>
      <x:c r="AW234" s="22" t="n">
        <x:f>(AV234+AU234)*G234</x:f>
        <x:v>2.652601507246377</x:v>
      </x:c>
      <x:c r="AX234" s="22" t="n">
        <x:f>MAX(0,AW234*IF(C234="QB",0.68,IF(C234="RB",0.58,IF(C234="WR",0.52,IF(C234="TE",0.50,IF(C234="K",0.55,0.40))))))</x:f>
        <x:v>1.379352783768116</x:v>
      </x:c>
      <x:c r="AY234" s="22" t="n">
        <x:f>AW234*IF(C234="QB",1.32,IF(C234="RB",1.45,IF(C234="WR",1.55,IF(C234="TE",1.60,IF(C234="K",1.45,1.65)))))</x:f>
        <x:v>4.1115323362318845</x:v>
      </x:c>
      <x:c r="AZ234" s="12" t="str">
        <x:v>Moderate</x:v>
      </x:c>
      <x:c r="BA234" s="12" t="n">
        <x:v>9</x:v>
      </x:c>
      <x:c r="BB234" s="12" t="n">
        <x:f>COUNTIFS($C$2:$C$344,C234,$AW$2:$AW$344,"&gt;"&amp;AW234,$G$2:$G$344,"&gt;0")+COUNTIFS($C$2:C234,C234,$AW$2:AW234,AW234,$G$2:G234,"&gt;0")</x:f>
        <x:v>95</x:v>
      </x:c>
      <x:c r="BC234" s="12" t="n">
        <x:v>95</x:v>
      </x:c>
      <x:c r="BD234" s="12" t="str">
        <x:f>IF(BB234&lt;BC234,"↑",IF(BB234&gt;BC234,"↓","→"))</x:f>
        <x:v>→</x:v>
      </x:c>
      <x:c r="BE234" s="23" t="str">
        <x:v>Fantasy Football Brief ROS baseline; official NFL schedule</x:v>
      </x:c>
      <x:c r="BF234" s="23" t="str">
        <x:v>Current role and availability baseline; all adjustment factors shown numerically</x:v>
      </x:c>
      <x:c r="BG234" s="23" t="str">
        <x:v>Material injury, depth-chart, or role change</x:v>
      </x:c>
      <x:c r="BH234" s="24" t="str">
        <x:v>2026-09-23 10:35 CT</x:v>
      </x:c>
    </x:row>
    <x:row r="235">
      <x:c r="A235" s="12" t="str">
        <x:v>Konata Mumpfield</x:v>
      </x:c>
      <x:c r="B235" s="12" t="str">
        <x:v>LAR</x:v>
      </x:c>
      <x:c r="C235" s="12" t="str">
        <x:v>WR</x:v>
      </x:c>
      <x:c r="D235" s="12" t="str">
        <x:v>DEN</x:v>
      </x:c>
      <x:c r="E235" s="12" t="str">
        <x:v>Away</x:v>
      </x:c>
      <x:c r="F235" s="12" t="str">
        <x:v>2026-09-27</x:v>
      </x:c>
      <x:c r="G235" s="19" t="n">
        <x:v>1</x:v>
      </x:c>
      <x:c r="H235" s="20" t="str">
        <x:v>ACTIVE</x:v>
      </x:c>
      <x:c r="I235" s="20" t="n">
        <x:v>52</x:v>
      </x:c>
      <x:c r="J235" s="20" t="str">
        <x:v>Routes</x:v>
      </x:c>
      <x:c r="K235" s="20" t="n">
        <x:v>8.086956521739133</x:v>
      </x:c>
      <x:c r="L235" s="21" t="n">
        <x:v>0</x:v>
      </x:c>
      <x:c r="M235" s="21" t="n">
        <x:v>0</x:v>
      </x:c>
      <x:c r="N235" s="21" t="n">
        <x:v>0</x:v>
      </x:c>
      <x:c r="O235" s="21" t="n">
        <x:v>0</x:v>
      </x:c>
      <x:c r="P235" s="21" t="n">
        <x:v>0</x:v>
      </x:c>
      <x:c r="Q235" s="21" t="n">
        <x:v>0.05217391304347827</x:v>
      </x:c>
      <x:c r="R235" s="21" t="n">
        <x:v>0.4944000000000002</x:v>
      </x:c>
      <x:c r="S235" s="21" t="n">
        <x:v>0</x:v>
      </x:c>
      <x:c r="T235" s="21" t="n">
        <x:v>0</x:v>
      </x:c>
      <x:c r="U235" s="21" t="n">
        <x:v>0</x:v>
      </x:c>
      <x:c r="V235" s="21" t="n">
        <x:v>0</x:v>
      </x:c>
      <x:c r="W235" s="21" t="n">
        <x:v>1.8260869565217395</x:v>
      </x:c>
      <x:c r="X235" s="21" t="n">
        <x:v>1.1739130434782612</x:v>
      </x:c>
      <x:c r="Y235" s="21" t="n">
        <x:v>14.337600000000005</x:v>
      </x:c>
      <x:c r="Z235" s="21" t="n">
        <x:v>0.08652000000000003</x:v>
      </x:c>
      <x:c r="AA235" s="21" t="n">
        <x:v>8.086956521739133</x:v>
      </x:c>
      <x:c r="AB235" s="21" t="n">
        <x:v>0.78</x:v>
      </x:c>
      <x:c r="AC235" s="21" t="n">
        <x:v>0</x:v>
      </x:c>
      <x:c r="AD235" s="21" t="n">
        <x:v>0</x:v>
      </x:c>
      <x:c r="AE235" s="21" t="n">
        <x:v>0</x:v>
      </x:c>
      <x:c r="AF235" s="21" t="n">
        <x:v>0</x:v>
      </x:c>
      <x:c r="AG235" s="21" t="n">
        <x:v>0</x:v>
      </x:c>
      <x:c r="AH235" s="21" t="n">
        <x:v>0</x:v>
      </x:c>
      <x:c r="AI235" s="21" t="n">
        <x:v>0</x:v>
      </x:c>
      <x:c r="AJ235" s="21" t="n">
        <x:v>0</x:v>
      </x:c>
      <x:c r="AK235" s="21" t="n">
        <x:v>0</x:v>
      </x:c>
      <x:c r="AL235" s="21" t="n">
        <x:v>0</x:v>
      </x:c>
      <x:c r="AM235" s="21" t="n">
        <x:v>1</x:v>
      </x:c>
      <x:c r="AN235" s="21" t="n">
        <x:v>1</x:v>
      </x:c>
      <x:c r="AO235" s="21" t="n">
        <x:v>1</x:v>
      </x:c>
      <x:c r="AP235" s="21" t="n">
        <x:v>1.03</x:v>
      </x:c>
      <x:c r="AQ235" s="21" t="n">
        <x:v>0.92</x:v>
      </x:c>
      <x:c r="AR235" s="21" t="n">
        <x:v>1</x:v>
      </x:c>
      <x:c r="AS235" s="21" t="n">
        <x:v>1</x:v>
      </x:c>
      <x:c r="AT235" s="21" t="n">
        <x:v>1</x:v>
      </x:c>
      <x:c r="AU235" s="21" t="n">
        <x:v>0</x:v>
      </x:c>
      <x:c r="AV235" s="22" t="n">
        <x:f>IF(C235="QB",N235*0.04+O235*4-P235*2+R235*0.1+S235*6,IF(OR(C235="RB",C235="WR",C235="TE"),U235*0.1+V235*6+R235*0.1+S235*6+X235*0.5+Y235*0.1+Z235*6,IF(C235="K",AC235*3+AD235*4+AE235*5+AF235,IF(C235="DST",AG235+AH235*2+AI235*6+AL235,0))))</x:f>
        <x:v>2.5892765217391314</x:v>
      </x:c>
      <x:c r="AW235" s="22" t="n">
        <x:f>(AV235+AU235)*G235</x:f>
        <x:v>2.5892765217391314</x:v>
      </x:c>
      <x:c r="AX235" s="22" t="n">
        <x:f>MAX(0,AW235*IF(C235="QB",0.68,IF(C235="RB",0.58,IF(C235="WR",0.52,IF(C235="TE",0.50,IF(C235="K",0.55,0.40))))))</x:f>
        <x:v>1.3464237913043484</x:v>
      </x:c>
      <x:c r="AY235" s="22" t="n">
        <x:f>AW235*IF(C235="QB",1.32,IF(C235="RB",1.45,IF(C235="WR",1.55,IF(C235="TE",1.60,IF(C235="K",1.45,1.65)))))</x:f>
        <x:v>4.013378608695653</x:v>
      </x:c>
      <x:c r="AZ235" s="12" t="str">
        <x:v>High</x:v>
      </x:c>
      <x:c r="BA235" s="12" t="n">
        <x:v>9</x:v>
      </x:c>
      <x:c r="BB235" s="12" t="n">
        <x:f>COUNTIFS($C$2:$C$344,C235,$AW$2:$AW$344,"&gt;"&amp;AW235,$G$2:$G$344,"&gt;0")+COUNTIFS($C$2:C235,C235,$AW$2:AW235,AW235,$G$2:G235,"&gt;0")</x:f>
        <x:v>96</x:v>
      </x:c>
      <x:c r="BC235" s="12" t="n">
        <x:v>96</x:v>
      </x:c>
      <x:c r="BD235" s="12" t="str">
        <x:f>IF(BB235&lt;BC235,"↑",IF(BB235&gt;BC235,"↓","→"))</x:f>
        <x:v>→</x:v>
      </x:c>
      <x:c r="BE235" s="23" t="str">
        <x:v>Fantasy Football Brief ROS baseline; official NFL schedule</x:v>
      </x:c>
      <x:c r="BF235" s="23" t="str">
        <x:v>Current role and availability baseline; all adjustment factors shown numerically</x:v>
      </x:c>
      <x:c r="BG235" s="23" t="str">
        <x:v>Material injury, depth-chart, or role change</x:v>
      </x:c>
      <x:c r="BH235" s="24" t="str">
        <x:v>2026-09-23 10:35 CT</x:v>
      </x:c>
    </x:row>
    <x:row r="236">
      <x:c r="A236" s="12" t="str">
        <x:v>Jahan Dotson</x:v>
      </x:c>
      <x:c r="B236" s="12" t="str">
        <x:v>ATL</x:v>
      </x:c>
      <x:c r="C236" s="12" t="str">
        <x:v>WR</x:v>
      </x:c>
      <x:c r="D236" s="12" t="str">
        <x:v>GB</x:v>
      </x:c>
      <x:c r="E236" s="12" t="str">
        <x:v>Away</x:v>
      </x:c>
      <x:c r="F236" s="12" t="str">
        <x:v>2026-09-24</x:v>
      </x:c>
      <x:c r="G236" s="19" t="n">
        <x:v>1</x:v>
      </x:c>
      <x:c r="H236" s="20" t="str">
        <x:v>ACTIVE</x:v>
      </x:c>
      <x:c r="I236" s="20" t="n">
        <x:v>52</x:v>
      </x:c>
      <x:c r="J236" s="20" t="str">
        <x:v>Routes</x:v>
      </x:c>
      <x:c r="K236" s="20" t="n">
        <x:v>7.78743961352657</x:v>
      </x:c>
      <x:c r="L236" s="21" t="n">
        <x:v>0</x:v>
      </x:c>
      <x:c r="M236" s="21" t="n">
        <x:v>0</x:v>
      </x:c>
      <x:c r="N236" s="21" t="n">
        <x:v>0</x:v>
      </x:c>
      <x:c r="O236" s="21" t="n">
        <x:v>0</x:v>
      </x:c>
      <x:c r="P236" s="21" t="n">
        <x:v>0</x:v>
      </x:c>
      <x:c r="Q236" s="21" t="n">
        <x:v>0.05024154589371981</x:v>
      </x:c>
      <x:c r="R236" s="21" t="n">
        <x:v>0.4678492753623188</x:v>
      </x:c>
      <x:c r="S236" s="21" t="n">
        <x:v>0</x:v>
      </x:c>
      <x:c r="T236" s="21" t="n">
        <x:v>0</x:v>
      </x:c>
      <x:c r="U236" s="21" t="n">
        <x:v>0</x:v>
      </x:c>
      <x:c r="V236" s="21" t="n">
        <x:v>0</x:v>
      </x:c>
      <x:c r="W236" s="21" t="n">
        <x:v>1.7584541062801933</x:v>
      </x:c>
      <x:c r="X236" s="21" t="n">
        <x:v>1.1304347826086958</x:v>
      </x:c>
      <x:c r="Y236" s="21" t="n">
        <x:v>13.567628985507246</x:v>
      </x:c>
      <x:c r="Z236" s="21" t="n">
        <x:v>0.08187362318840578</x:v>
      </x:c>
      <x:c r="AA236" s="21" t="n">
        <x:v>7.78743961352657</x:v>
      </x:c>
      <x:c r="AB236" s="21" t="n">
        <x:v>0.78</x:v>
      </x:c>
      <x:c r="AC236" s="21" t="n">
        <x:v>0</x:v>
      </x:c>
      <x:c r="AD236" s="21" t="n">
        <x:v>0</x:v>
      </x:c>
      <x:c r="AE236" s="21" t="n">
        <x:v>0</x:v>
      </x:c>
      <x:c r="AF236" s="21" t="n">
        <x:v>0</x:v>
      </x:c>
      <x:c r="AG236" s="21" t="n">
        <x:v>0</x:v>
      </x:c>
      <x:c r="AH236" s="21" t="n">
        <x:v>0</x:v>
      </x:c>
      <x:c r="AI236" s="21" t="n">
        <x:v>0</x:v>
      </x:c>
      <x:c r="AJ236" s="21" t="n">
        <x:v>0</x:v>
      </x:c>
      <x:c r="AK236" s="21" t="n">
        <x:v>0</x:v>
      </x:c>
      <x:c r="AL236" s="21" t="n">
        <x:v>0</x:v>
      </x:c>
      <x:c r="AM236" s="21" t="n">
        <x:v>1</x:v>
      </x:c>
      <x:c r="AN236" s="21" t="n">
        <x:v>1</x:v>
      </x:c>
      <x:c r="AO236" s="21" t="n">
        <x:v>1</x:v>
      </x:c>
      <x:c r="AP236" s="21" t="n">
        <x:v>0.97</x:v>
      </x:c>
      <x:c r="AQ236" s="21" t="n">
        <x:v>0.96</x:v>
      </x:c>
      <x:c r="AR236" s="21" t="n">
        <x:v>1</x:v>
      </x:c>
      <x:c r="AS236" s="21" t="n">
        <x:v>1</x:v>
      </x:c>
      <x:c r="AT236" s="21" t="n">
        <x:v>1</x:v>
      </x:c>
      <x:c r="AU236" s="21" t="n">
        <x:v>0</x:v>
      </x:c>
      <x:c r="AV236" s="22" t="n">
        <x:f>IF(C236="QB",N236*0.04+O236*4-P236*2+R236*0.1+S236*6,IF(OR(C236="RB",C236="WR",C236="TE"),U236*0.1+V236*6+R236*0.1+S236*6+X236*0.5+Y236*0.1+Z236*6,IF(C236="K",AC236*3+AD236*4+AE236*5+AF236,IF(C236="DST",AG236+AH236*2+AI236*6+AL236,0))))</x:f>
        <x:v>2.460006956521739</x:v>
      </x:c>
      <x:c r="AW236" s="22" t="n">
        <x:f>(AV236+AU236)*G236</x:f>
        <x:v>2.460006956521739</x:v>
      </x:c>
      <x:c r="AX236" s="22" t="n">
        <x:f>MAX(0,AW236*IF(C236="QB",0.68,IF(C236="RB",0.58,IF(C236="WR",0.52,IF(C236="TE",0.50,IF(C236="K",0.55,0.40))))))</x:f>
        <x:v>1.2792036173913044</x:v>
      </x:c>
      <x:c r="AY236" s="22" t="n">
        <x:f>AW236*IF(C236="QB",1.32,IF(C236="RB",1.45,IF(C236="WR",1.55,IF(C236="TE",1.60,IF(C236="K",1.45,1.65)))))</x:f>
        <x:v>3.813010782608696</x:v>
      </x:c>
      <x:c r="AZ236" s="12" t="str">
        <x:v>High</x:v>
      </x:c>
      <x:c r="BA236" s="12" t="n">
        <x:v>9</x:v>
      </x:c>
      <x:c r="BB236" s="12" t="n">
        <x:f>COUNTIFS($C$2:$C$344,C236,$AW$2:$AW$344,"&gt;"&amp;AW236,$G$2:$G$344,"&gt;0")+COUNTIFS($C$2:C236,C236,$AW$2:AW236,AW236,$G$2:G236,"&gt;0")</x:f>
        <x:v>97</x:v>
      </x:c>
      <x:c r="BC236" s="12" t="n">
        <x:v>97</x:v>
      </x:c>
      <x:c r="BD236" s="12" t="str">
        <x:f>IF(BB236&lt;BC236,"↑",IF(BB236&gt;BC236,"↓","→"))</x:f>
        <x:v>→</x:v>
      </x:c>
      <x:c r="BE236" s="23" t="str">
        <x:v>Fantasy Football Brief ROS baseline; official NFL schedule</x:v>
      </x:c>
      <x:c r="BF236" s="23" t="str">
        <x:v>Current role and availability baseline; all adjustment factors shown numerically</x:v>
      </x:c>
      <x:c r="BG236" s="23" t="str">
        <x:v>Material injury, depth-chart, or role change</x:v>
      </x:c>
      <x:c r="BH236" s="24" t="str">
        <x:v>2026-09-23 10:35 CT</x:v>
      </x:c>
    </x:row>
    <x:row r="237">
      <x:c r="A237" s="12" t="str">
        <x:v>Marvin Mims Jr.</x:v>
      </x:c>
      <x:c r="B237" s="12" t="str">
        <x:v>DEN</x:v>
      </x:c>
      <x:c r="C237" s="12" t="str">
        <x:v>WR</x:v>
      </x:c>
      <x:c r="D237" s="12" t="str">
        <x:v>LAR</x:v>
      </x:c>
      <x:c r="E237" s="12" t="str">
        <x:v>Home</x:v>
      </x:c>
      <x:c r="F237" s="12" t="str">
        <x:v>2026-09-27</x:v>
      </x:c>
      <x:c r="G237" s="19" t="n">
        <x:v>1</x:v>
      </x:c>
      <x:c r="H237" s="20" t="str">
        <x:v>ACTIVE</x:v>
      </x:c>
      <x:c r="I237" s="20" t="n">
        <x:v>52</x:v>
      </x:c>
      <x:c r="J237" s="20" t="str">
        <x:v>Routes</x:v>
      </x:c>
      <x:c r="K237" s="20" t="n">
        <x:v>7.188405797101449</x:v>
      </x:c>
      <x:c r="L237" s="21" t="n">
        <x:v>0</x:v>
      </x:c>
      <x:c r="M237" s="21" t="n">
        <x:v>0</x:v>
      </x:c>
      <x:c r="N237" s="21" t="n">
        <x:v>0</x:v>
      </x:c>
      <x:c r="O237" s="21" t="n">
        <x:v>0</x:v>
      </x:c>
      <x:c r="P237" s="21" t="n">
        <x:v>0</x:v>
      </x:c>
      <x:c r="Q237" s="21" t="n">
        <x:v>0.0463768115942029</x:v>
      </x:c>
      <x:c r="R237" s="21" t="n">
        <x:v>0.4544927536231884</x:v>
      </x:c>
      <x:c r="S237" s="21" t="n">
        <x:v>0</x:v>
      </x:c>
      <x:c r="T237" s="21" t="n">
        <x:v>0</x:v>
      </x:c>
      <x:c r="U237" s="21" t="n">
        <x:v>0</x:v>
      </x:c>
      <x:c r="V237" s="21" t="n">
        <x:v>0</x:v>
      </x:c>
      <x:c r="W237" s="21" t="n">
        <x:v>1.6231884057971016</x:v>
      </x:c>
      <x:c r="X237" s="21" t="n">
        <x:v>1.0434782608695652</x:v>
      </x:c>
      <x:c r="Y237" s="21" t="n">
        <x:v>13.180289855072463</x:v>
      </x:c>
      <x:c r="Z237" s="21" t="n">
        <x:v>0.07953623188405796</x:v>
      </x:c>
      <x:c r="AA237" s="21" t="n">
        <x:v>7.188405797101449</x:v>
      </x:c>
      <x:c r="AB237" s="21" t="n">
        <x:v>0.78</x:v>
      </x:c>
      <x:c r="AC237" s="21" t="n">
        <x:v>0</x:v>
      </x:c>
      <x:c r="AD237" s="21" t="n">
        <x:v>0</x:v>
      </x:c>
      <x:c r="AE237" s="21" t="n">
        <x:v>0</x:v>
      </x:c>
      <x:c r="AF237" s="21" t="n">
        <x:v>0</x:v>
      </x:c>
      <x:c r="AG237" s="21" t="n">
        <x:v>0</x:v>
      </x:c>
      <x:c r="AH237" s="21" t="n">
        <x:v>0</x:v>
      </x:c>
      <x:c r="AI237" s="21" t="n">
        <x:v>0</x:v>
      </x:c>
      <x:c r="AJ237" s="21" t="n">
        <x:v>0</x:v>
      </x:c>
      <x:c r="AK237" s="21" t="n">
        <x:v>0</x:v>
      </x:c>
      <x:c r="AL237" s="21" t="n">
        <x:v>0</x:v>
      </x:c>
      <x:c r="AM237" s="21" t="n">
        <x:v>1</x:v>
      </x:c>
      <x:c r="AN237" s="21" t="n">
        <x:v>1</x:v>
      </x:c>
      <x:c r="AO237" s="21" t="n">
        <x:v>1</x:v>
      </x:c>
      <x:c r="AP237" s="21" t="n">
        <x:v>1</x:v>
      </x:c>
      <x:c r="AQ237" s="21" t="n">
        <x:v>0.98</x:v>
      </x:c>
      <x:c r="AR237" s="21" t="n">
        <x:v>1</x:v>
      </x:c>
      <x:c r="AS237" s="21" t="n">
        <x:v>1</x:v>
      </x:c>
      <x:c r="AT237" s="21" t="n">
        <x:v>1</x:v>
      </x:c>
      <x:c r="AU237" s="21" t="n">
        <x:v>0</x:v>
      </x:c>
      <x:c r="AV237" s="22" t="n">
        <x:f>IF(C237="QB",N237*0.04+O237*4-P237*2+R237*0.1+S237*6,IF(OR(C237="RB",C237="WR",C237="TE"),U237*0.1+V237*6+R237*0.1+S237*6+X237*0.5+Y237*0.1+Z237*6,IF(C237="K",AC237*3+AD237*4+AE237*5+AF237,IF(C237="DST",AG237+AH237*2+AI237*6+AL237,0))))</x:f>
        <x:v>2.3624347826086955</x:v>
      </x:c>
      <x:c r="AW237" s="22" t="n">
        <x:f>(AV237+AU237)*G237</x:f>
        <x:v>2.3624347826086955</x:v>
      </x:c>
      <x:c r="AX237" s="22" t="n">
        <x:f>MAX(0,AW237*IF(C237="QB",0.68,IF(C237="RB",0.58,IF(C237="WR",0.52,IF(C237="TE",0.50,IF(C237="K",0.55,0.40))))))</x:f>
        <x:v>1.2284660869565218</x:v>
      </x:c>
      <x:c r="AY237" s="22" t="n">
        <x:f>AW237*IF(C237="QB",1.32,IF(C237="RB",1.45,IF(C237="WR",1.55,IF(C237="TE",1.60,IF(C237="K",1.45,1.65)))))</x:f>
        <x:v>3.6617739130434783</x:v>
      </x:c>
      <x:c r="AZ237" s="12" t="str">
        <x:v>High</x:v>
      </x:c>
      <x:c r="BA237" s="12" t="n">
        <x:v>9</x:v>
      </x:c>
      <x:c r="BB237" s="12" t="n">
        <x:f>COUNTIFS($C$2:$C$344,C237,$AW$2:$AW$344,"&gt;"&amp;AW237,$G$2:$G$344,"&gt;0")+COUNTIFS($C$2:C237,C237,$AW$2:AW237,AW237,$G$2:G237,"&gt;0")</x:f>
        <x:v>98</x:v>
      </x:c>
      <x:c r="BC237" s="12" t="n">
        <x:v>98</x:v>
      </x:c>
      <x:c r="BD237" s="12" t="str">
        <x:f>IF(BB237&lt;BC237,"↑",IF(BB237&gt;BC237,"↓","→"))</x:f>
        <x:v>→</x:v>
      </x:c>
      <x:c r="BE237" s="23" t="str">
        <x:v>Fantasy Football Brief ROS baseline; official NFL schedule</x:v>
      </x:c>
      <x:c r="BF237" s="23" t="str">
        <x:v>Current role and availability baseline; all adjustment factors shown numerically</x:v>
      </x:c>
      <x:c r="BG237" s="23" t="str">
        <x:v>Material injury, depth-chart, or role change</x:v>
      </x:c>
      <x:c r="BH237" s="24" t="str">
        <x:v>2026-09-23 10:35 CT</x:v>
      </x:c>
    </x:row>
    <x:row r="238">
      <x:c r="A238" s="12" t="str">
        <x:v>Joshua Palmer</x:v>
      </x:c>
      <x:c r="B238" s="12" t="str">
        <x:v>BUF</x:v>
      </x:c>
      <x:c r="C238" s="12" t="str">
        <x:v>WR</x:v>
      </x:c>
      <x:c r="D238" s="12" t="str">
        <x:v>LAC</x:v>
      </x:c>
      <x:c r="E238" s="12" t="str">
        <x:v>Home</x:v>
      </x:c>
      <x:c r="F238" s="12" t="str">
        <x:v>2026-09-27</x:v>
      </x:c>
      <x:c r="G238" s="19" t="n">
        <x:v>1</x:v>
      </x:c>
      <x:c r="H238" s="20" t="str">
        <x:v>ACTIVE</x:v>
      </x:c>
      <x:c r="I238" s="20" t="n">
        <x:v>52</x:v>
      </x:c>
      <x:c r="J238" s="20" t="str">
        <x:v>Routes</x:v>
      </x:c>
      <x:c r="K238" s="20" t="n">
        <x:v>6.888888888888888</x:v>
      </x:c>
      <x:c r="L238" s="21" t="n">
        <x:v>0</x:v>
      </x:c>
      <x:c r="M238" s="21" t="n">
        <x:v>0</x:v>
      </x:c>
      <x:c r="N238" s="21" t="n">
        <x:v>0</x:v>
      </x:c>
      <x:c r="O238" s="21" t="n">
        <x:v>0</x:v>
      </x:c>
      <x:c r="P238" s="21" t="n">
        <x:v>0</x:v>
      </x:c>
      <x:c r="Q238" s="21" t="n">
        <x:v>0.044444444444444446</x:v>
      </x:c>
      <x:c r="R238" s="21" t="n">
        <x:v>0.4529777777777778</x:v>
      </x:c>
      <x:c r="S238" s="21" t="n">
        <x:v>0</x:v>
      </x:c>
      <x:c r="T238" s="21" t="n">
        <x:v>0</x:v>
      </x:c>
      <x:c r="U238" s="21" t="n">
        <x:v>0</x:v>
      </x:c>
      <x:c r="V238" s="21" t="n">
        <x:v>0</x:v>
      </x:c>
      <x:c r="W238" s="21" t="n">
        <x:v>1.5555555555555554</x:v>
      </x:c>
      <x:c r="X238" s="21" t="n">
        <x:v>1</x:v>
      </x:c>
      <x:c r="Y238" s="21" t="n">
        <x:v>13.136355555555555</x:v>
      </x:c>
      <x:c r="Z238" s="21" t="n">
        <x:v>0.07927111111111111</x:v>
      </x:c>
      <x:c r="AA238" s="21" t="n">
        <x:v>6.888888888888888</x:v>
      </x:c>
      <x:c r="AB238" s="21" t="n">
        <x:v>0.78</x:v>
      </x:c>
      <x:c r="AC238" s="21" t="n">
        <x:v>0</x:v>
      </x:c>
      <x:c r="AD238" s="21" t="n">
        <x:v>0</x:v>
      </x:c>
      <x:c r="AE238" s="21" t="n">
        <x:v>0</x:v>
      </x:c>
      <x:c r="AF238" s="21" t="n">
        <x:v>0</x:v>
      </x:c>
      <x:c r="AG238" s="21" t="n">
        <x:v>0</x:v>
      </x:c>
      <x:c r="AH238" s="21" t="n">
        <x:v>0</x:v>
      </x:c>
      <x:c r="AI238" s="21" t="n">
        <x:v>0</x:v>
      </x:c>
      <x:c r="AJ238" s="21" t="n">
        <x:v>0</x:v>
      </x:c>
      <x:c r="AK238" s="21" t="n">
        <x:v>0</x:v>
      </x:c>
      <x:c r="AL238" s="21" t="n">
        <x:v>0</x:v>
      </x:c>
      <x:c r="AM238" s="21" t="n">
        <x:v>1</x:v>
      </x:c>
      <x:c r="AN238" s="21" t="n">
        <x:v>1</x:v>
      </x:c>
      <x:c r="AO238" s="21" t="n">
        <x:v>1</x:v>
      </x:c>
      <x:c r="AP238" s="21" t="n">
        <x:v>1.04</x:v>
      </x:c>
      <x:c r="AQ238" s="21" t="n">
        <x:v>0.98</x:v>
      </x:c>
      <x:c r="AR238" s="21" t="n">
        <x:v>1</x:v>
      </x:c>
      <x:c r="AS238" s="21" t="n">
        <x:v>1</x:v>
      </x:c>
      <x:c r="AT238" s="21" t="n">
        <x:v>1</x:v>
      </x:c>
      <x:c r="AU238" s="21" t="n">
        <x:v>0</x:v>
      </x:c>
      <x:c r="AV238" s="22" t="n">
        <x:f>IF(C238="QB",N238*0.04+O238*4-P238*2+R238*0.1+S238*6,IF(OR(C238="RB",C238="WR",C238="TE"),U238*0.1+V238*6+R238*0.1+S238*6+X238*0.5+Y238*0.1+Z238*6,IF(C238="K",AC238*3+AD238*4+AE238*5+AF238,IF(C238="DST",AG238+AH238*2+AI238*6+AL238,0))))</x:f>
        <x:v>2.3345599999999997</x:v>
      </x:c>
      <x:c r="AW238" s="22" t="n">
        <x:f>(AV238+AU238)*G238</x:f>
        <x:v>2.3345599999999997</x:v>
      </x:c>
      <x:c r="AX238" s="22" t="n">
        <x:f>MAX(0,AW238*IF(C238="QB",0.68,IF(C238="RB",0.58,IF(C238="WR",0.52,IF(C238="TE",0.50,IF(C238="K",0.55,0.40))))))</x:f>
        <x:v>1.2139711999999998</x:v>
      </x:c>
      <x:c r="AY238" s="22" t="n">
        <x:f>AW238*IF(C238="QB",1.32,IF(C238="RB",1.45,IF(C238="WR",1.55,IF(C238="TE",1.60,IF(C238="K",1.45,1.65)))))</x:f>
        <x:v>3.618568</x:v>
      </x:c>
      <x:c r="AZ238" s="12" t="str">
        <x:v>High</x:v>
      </x:c>
      <x:c r="BA238" s="12" t="n">
        <x:v>9</x:v>
      </x:c>
      <x:c r="BB238" s="12" t="n">
        <x:f>COUNTIFS($C$2:$C$344,C238,$AW$2:$AW$344,"&gt;"&amp;AW238,$G$2:$G$344,"&gt;0")+COUNTIFS($C$2:C238,C238,$AW$2:AW238,AW238,$G$2:G238,"&gt;0")</x:f>
        <x:v>99</x:v>
      </x:c>
      <x:c r="BC238" s="12" t="n">
        <x:v>99</x:v>
      </x:c>
      <x:c r="BD238" s="12" t="str">
        <x:f>IF(BB238&lt;BC238,"↑",IF(BB238&gt;BC238,"↓","→"))</x:f>
        <x:v>→</x:v>
      </x:c>
      <x:c r="BE238" s="23" t="str">
        <x:v>Fantasy Football Brief ROS baseline; official NFL schedule</x:v>
      </x:c>
      <x:c r="BF238" s="23" t="str">
        <x:v>Current role and availability baseline; all adjustment factors shown numerically</x:v>
      </x:c>
      <x:c r="BG238" s="23" t="str">
        <x:v>Material injury, depth-chart, or role change</x:v>
      </x:c>
      <x:c r="BH238" s="24" t="str">
        <x:v>2026-09-23 10:35 CT</x:v>
      </x:c>
    </x:row>
    <x:row r="239">
      <x:c r="A239" s="12" t="str">
        <x:v>Xavier Legette</x:v>
      </x:c>
      <x:c r="B239" s="12" t="str">
        <x:v>CAR</x:v>
      </x:c>
      <x:c r="C239" s="12" t="str">
        <x:v>WR</x:v>
      </x:c>
      <x:c r="D239" s="12" t="str">
        <x:v>CLE</x:v>
      </x:c>
      <x:c r="E239" s="12" t="str">
        <x:v>Away</x:v>
      </x:c>
      <x:c r="F239" s="12" t="str">
        <x:v>2026-09-27</x:v>
      </x:c>
      <x:c r="G239" s="19" t="n">
        <x:v>1</x:v>
      </x:c>
      <x:c r="H239" s="20" t="str">
        <x:v>ACTIVE</x:v>
      </x:c>
      <x:c r="I239" s="20" t="n">
        <x:v>52</x:v>
      </x:c>
      <x:c r="J239" s="20" t="str">
        <x:v>Routes</x:v>
      </x:c>
      <x:c r="K239" s="20" t="n">
        <x:v>7.188405797101449</x:v>
      </x:c>
      <x:c r="L239" s="21" t="n">
        <x:v>0</x:v>
      </x:c>
      <x:c r="M239" s="21" t="n">
        <x:v>0</x:v>
      </x:c>
      <x:c r="N239" s="21" t="n">
        <x:v>0</x:v>
      </x:c>
      <x:c r="O239" s="21" t="n">
        <x:v>0</x:v>
      </x:c>
      <x:c r="P239" s="21" t="n">
        <x:v>0</x:v>
      </x:c>
      <x:c r="Q239" s="21" t="n">
        <x:v>0.0463768115942029</x:v>
      </x:c>
      <x:c r="R239" s="21" t="n">
        <x:v>0.43176811594202896</x:v>
      </x:c>
      <x:c r="S239" s="21" t="n">
        <x:v>0</x:v>
      </x:c>
      <x:c r="T239" s="21" t="n">
        <x:v>0</x:v>
      </x:c>
      <x:c r="U239" s="21" t="n">
        <x:v>0</x:v>
      </x:c>
      <x:c r="V239" s="21" t="n">
        <x:v>0</x:v>
      </x:c>
      <x:c r="W239" s="21" t="n">
        <x:v>1.6231884057971016</x:v>
      </x:c>
      <x:c r="X239" s="21" t="n">
        <x:v>1.0434782608695652</x:v>
      </x:c>
      <x:c r="Y239" s="21" t="n">
        <x:v>12.521275362318839</x:v>
      </x:c>
      <x:c r="Z239" s="21" t="n">
        <x:v>0.07555942028985506</x:v>
      </x:c>
      <x:c r="AA239" s="21" t="n">
        <x:v>7.188405797101449</x:v>
      </x:c>
      <x:c r="AB239" s="21" t="n">
        <x:v>0.78</x:v>
      </x:c>
      <x:c r="AC239" s="21" t="n">
        <x:v>0</x:v>
      </x:c>
      <x:c r="AD239" s="21" t="n">
        <x:v>0</x:v>
      </x:c>
      <x:c r="AE239" s="21" t="n">
        <x:v>0</x:v>
      </x:c>
      <x:c r="AF239" s="21" t="n">
        <x:v>0</x:v>
      </x:c>
      <x:c r="AG239" s="21" t="n">
        <x:v>0</x:v>
      </x:c>
      <x:c r="AH239" s="21" t="n">
        <x:v>0</x:v>
      </x:c>
      <x:c r="AI239" s="21" t="n">
        <x:v>0</x:v>
      </x:c>
      <x:c r="AJ239" s="21" t="n">
        <x:v>0</x:v>
      </x:c>
      <x:c r="AK239" s="21" t="n">
        <x:v>0</x:v>
      </x:c>
      <x:c r="AL239" s="21" t="n">
        <x:v>0</x:v>
      </x:c>
      <x:c r="AM239" s="21" t="n">
        <x:v>1</x:v>
      </x:c>
      <x:c r="AN239" s="21" t="n">
        <x:v>1</x:v>
      </x:c>
      <x:c r="AO239" s="21" t="n">
        <x:v>1</x:v>
      </x:c>
      <x:c r="AP239" s="21" t="n">
        <x:v>0.98</x:v>
      </x:c>
      <x:c r="AQ239" s="21" t="n">
        <x:v>0.95</x:v>
      </x:c>
      <x:c r="AR239" s="21" t="n">
        <x:v>1</x:v>
      </x:c>
      <x:c r="AS239" s="21" t="n">
        <x:v>1</x:v>
      </x:c>
      <x:c r="AT239" s="21" t="n">
        <x:v>1</x:v>
      </x:c>
      <x:c r="AU239" s="21" t="n">
        <x:v>0</x:v>
      </x:c>
      <x:c r="AV239" s="22" t="n">
        <x:f>IF(C239="QB",N239*0.04+O239*4-P239*2+R239*0.1+S239*6,IF(OR(C239="RB",C239="WR",C239="TE"),U239*0.1+V239*6+R239*0.1+S239*6+X239*0.5+Y239*0.1+Z239*6,IF(C239="K",AC239*3+AD239*4+AE239*5+AF239,IF(C239="DST",AG239+AH239*2+AI239*6+AL239,0))))</x:f>
        <x:v>2.2704</x:v>
      </x:c>
      <x:c r="AW239" s="22" t="n">
        <x:f>(AV239+AU239)*G239</x:f>
        <x:v>2.2704</x:v>
      </x:c>
      <x:c r="AX239" s="22" t="n">
        <x:f>MAX(0,AW239*IF(C239="QB",0.68,IF(C239="RB",0.58,IF(C239="WR",0.52,IF(C239="TE",0.50,IF(C239="K",0.55,0.40))))))</x:f>
        <x:v>1.180608</x:v>
      </x:c>
      <x:c r="AY239" s="22" t="n">
        <x:f>AW239*IF(C239="QB",1.32,IF(C239="RB",1.45,IF(C239="WR",1.55,IF(C239="TE",1.60,IF(C239="K",1.45,1.65)))))</x:f>
        <x:v>3.51912</x:v>
      </x:c>
      <x:c r="AZ239" s="12" t="str">
        <x:v>High</x:v>
      </x:c>
      <x:c r="BA239" s="12" t="n">
        <x:v>9</x:v>
      </x:c>
      <x:c r="BB239" s="12" t="n">
        <x:f>COUNTIFS($C$2:$C$344,C239,$AW$2:$AW$344,"&gt;"&amp;AW239,$G$2:$G$344,"&gt;0")+COUNTIFS($C$2:C239,C239,$AW$2:AW239,AW239,$G$2:G239,"&gt;0")</x:f>
        <x:v>100</x:v>
      </x:c>
      <x:c r="BC239" s="12" t="n">
        <x:v>100</x:v>
      </x:c>
      <x:c r="BD239" s="12" t="str">
        <x:f>IF(BB239&lt;BC239,"↑",IF(BB239&gt;BC239,"↓","→"))</x:f>
        <x:v>→</x:v>
      </x:c>
      <x:c r="BE239" s="23" t="str">
        <x:v>Fantasy Football Brief ROS baseline; official NFL schedule</x:v>
      </x:c>
      <x:c r="BF239" s="23" t="str">
        <x:v>Current role and availability baseline; all adjustment factors shown numerically</x:v>
      </x:c>
      <x:c r="BG239" s="23" t="str">
        <x:v>Material injury, depth-chart, or role change</x:v>
      </x:c>
      <x:c r="BH239" s="24" t="str">
        <x:v>2026-09-23 10:35 CT</x:v>
      </x:c>
    </x:row>
    <x:row r="240">
      <x:c r="A240" s="12" t="str">
        <x:v>De'Zhaun Stribling</x:v>
      </x:c>
      <x:c r="B240" s="12" t="str">
        <x:v>SF</x:v>
      </x:c>
      <x:c r="C240" s="12" t="str">
        <x:v>WR</x:v>
      </x:c>
      <x:c r="D240" s="12" t="str">
        <x:v>ARI</x:v>
      </x:c>
      <x:c r="E240" s="12" t="str">
        <x:v>Home</x:v>
      </x:c>
      <x:c r="F240" s="12" t="str">
        <x:v>2026-09-27</x:v>
      </x:c>
      <x:c r="G240" s="19" t="n">
        <x:v>0</x:v>
      </x:c>
      <x:c r="H240" s="20" t="str">
        <x:v>IR</x:v>
      </x:c>
      <x:c r="I240" s="20" t="n">
        <x:v>19.066666666666666</x:v>
      </x:c>
      <x:c r="J240" s="20" t="str">
        <x:v>Routes</x:v>
      </x:c>
      <x:c r="K240" s="20" t="n">
        <x:v>8.685990338164252</x:v>
      </x:c>
      <x:c r="L240" s="21" t="n">
        <x:v>0</x:v>
      </x:c>
      <x:c r="M240" s="21" t="n">
        <x:v>0</x:v>
      </x:c>
      <x:c r="N240" s="21" t="n">
        <x:v>0</x:v>
      </x:c>
      <x:c r="O240" s="21" t="n">
        <x:v>0</x:v>
      </x:c>
      <x:c r="P240" s="21" t="n">
        <x:v>0</x:v>
      </x:c>
      <x:c r="Q240" s="21" t="n">
        <x:v>0.05603864734299518</x:v>
      </x:c>
      <x:c r="R240" s="21" t="n">
        <x:v>0.5715942028985508</x:v>
      </x:c>
      <x:c r="S240" s="21" t="n">
        <x:v>0</x:v>
      </x:c>
      <x:c r="T240" s="21" t="n">
        <x:v>0</x:v>
      </x:c>
      <x:c r="U240" s="21" t="n">
        <x:v>0</x:v>
      </x:c>
      <x:c r="V240" s="21" t="n">
        <x:v>0</x:v>
      </x:c>
      <x:c r="W240" s="21" t="n">
        <x:v>1.9613526570048312</x:v>
      </x:c>
      <x:c r="X240" s="21" t="n">
        <x:v>1.2608695652173914</x:v>
      </x:c>
      <x:c r="Y240" s="21" t="n">
        <x:v>16.57623188405797</x:v>
      </x:c>
      <x:c r="Z240" s="21" t="n">
        <x:v>0.10002898550724638</x:v>
      </x:c>
      <x:c r="AA240" s="21" t="n">
        <x:v>8.685990338164252</x:v>
      </x:c>
      <x:c r="AB240" s="21" t="n">
        <x:v>0.78</x:v>
      </x:c>
      <x:c r="AC240" s="21" t="n">
        <x:v>0</x:v>
      </x:c>
      <x:c r="AD240" s="21" t="n">
        <x:v>0</x:v>
      </x:c>
      <x:c r="AE240" s="21" t="n">
        <x:v>0</x:v>
      </x:c>
      <x:c r="AF240" s="21" t="n">
        <x:v>0</x:v>
      </x:c>
      <x:c r="AG240" s="21" t="n">
        <x:v>0</x:v>
      </x:c>
      <x:c r="AH240" s="21" t="n">
        <x:v>0</x:v>
      </x:c>
      <x:c r="AI240" s="21" t="n">
        <x:v>0</x:v>
      </x:c>
      <x:c r="AJ240" s="21" t="n">
        <x:v>0</x:v>
      </x:c>
      <x:c r="AK240" s="21" t="n">
        <x:v>0</x:v>
      </x:c>
      <x:c r="AL240" s="21" t="n">
        <x:v>0</x:v>
      </x:c>
      <x:c r="AM240" s="21" t="n">
        <x:v>0.36666666666666664</x:v>
      </x:c>
      <x:c r="AN240" s="21" t="n">
        <x:v>1</x:v>
      </x:c>
      <x:c r="AO240" s="21" t="n">
        <x:v>1</x:v>
      </x:c>
      <x:c r="AP240" s="21" t="n">
        <x:v>1.02</x:v>
      </x:c>
      <x:c r="AQ240" s="21" t="n">
        <x:v>1</x:v>
      </x:c>
      <x:c r="AR240" s="21" t="n">
        <x:v>1</x:v>
      </x:c>
      <x:c r="AS240" s="21" t="n">
        <x:v>1</x:v>
      </x:c>
      <x:c r="AT240" s="21" t="n">
        <x:v>1</x:v>
      </x:c>
      <x:c r="AU240" s="21" t="n">
        <x:v>0</x:v>
      </x:c>
      <x:c r="AV240" s="22" t="n">
        <x:f>IF(C240="QB",N240*0.04+O240*4-P240*2+R240*0.1+S240*6,IF(OR(C240="RB",C240="WR",C240="TE"),U240*0.1+V240*6+R240*0.1+S240*6+X240*0.5+Y240*0.1+Z240*6,IF(C240="K",AC240*3+AD240*4+AE240*5+AF240,IF(C240="DST",AG240+AH240*2+AI240*6+AL240,0))))</x:f>
        <x:v>2.9453913043478264</x:v>
      </x:c>
      <x:c r="AW240" s="22" t="n">
        <x:f>(AV240+AU240)*G240</x:f>
        <x:v>0</x:v>
      </x:c>
      <x:c r="AX240" s="22" t="n">
        <x:f>MAX(0,AW240*IF(C240="QB",0.68,IF(C240="RB",0.58,IF(C240="WR",0.52,IF(C240="TE",0.50,IF(C240="K",0.55,0.40))))))</x:f>
        <x:v>0</x:v>
      </x:c>
      <x:c r="AY240" s="22" t="n">
        <x:f>AW240*IF(C240="QB",1.32,IF(C240="RB",1.45,IF(C240="WR",1.55,IF(C240="TE",1.60,IF(C240="K",1.45,1.65)))))</x:f>
        <x:v>0</x:v>
      </x:c>
      <x:c r="AZ240" s="12" t="str">
        <x:v>High</x:v>
      </x:c>
      <x:c r="BA240" s="12" t="n">
        <x:v>9</x:v>
      </x:c>
      <x:c r="BB240" s="12"/>
      <x:c r="BC240" s="12" t="str">
        <x:v>NR</x:v>
      </x:c>
      <x:c r="BD240" s="12" t="str">
        <x:v>New</x:v>
      </x:c>
      <x:c r="BE240" s="23" t="str">
        <x:v>https://www.nbcsports.com/fantasy/football/news/2026-nfl-week-3-injury-report-jaxson-dart-mcl-chargers-down-two-tes-more-49ers-injuries</x:v>
      </x:c>
      <x:c r="BF240" s="23" t="str">
        <x:v>Houston placed Stribling on injured reserve; he is unavailable for Week 3. Conditional inputs remain visible for audit; expected Week 3 points are zero.</x:v>
      </x:c>
      <x:c r="BG240" s="23" t="str">
        <x:v>Official activation or new-team transaction</x:v>
      </x:c>
      <x:c r="BH240" s="24" t="str">
        <x:v>2026-09-24 1:18 PM CT</x:v>
      </x:c>
    </x:row>
    <x:row r="241">
      <x:c r="A241" s="12" t="str">
        <x:v>Alec Pierce</x:v>
      </x:c>
      <x:c r="B241" s="12" t="str">
        <x:v>IND</x:v>
      </x:c>
      <x:c r="C241" s="12" t="str">
        <x:v>WR</x:v>
      </x:c>
      <x:c r="D241" s="12" t="str">
        <x:v>HOU</x:v>
      </x:c>
      <x:c r="E241" s="12" t="str">
        <x:v>Home</x:v>
      </x:c>
      <x:c r="F241" s="12" t="str">
        <x:v>2026-09-27</x:v>
      </x:c>
      <x:c r="G241" s="19" t="n">
        <x:v>0</x:v>
      </x:c>
      <x:c r="H241" s="20" t="str">
        <x:v>OUT</x:v>
      </x:c>
      <x:c r="I241" s="20" t="n">
        <x:v>50.266666666666666</x:v>
      </x:c>
      <x:c r="J241" s="20" t="str">
        <x:v>Routes</x:v>
      </x:c>
      <x:c r="K241" s="20" t="n">
        <x:v>23.96135265700483</x:v>
      </x:c>
      <x:c r="L241" s="21" t="n">
        <x:v>0</x:v>
      </x:c>
      <x:c r="M241" s="21" t="n">
        <x:v>0</x:v>
      </x:c>
      <x:c r="N241" s="21" t="n">
        <x:v>0</x:v>
      </x:c>
      <x:c r="O241" s="21" t="n">
        <x:v>0</x:v>
      </x:c>
      <x:c r="P241" s="21" t="n">
        <x:v>0</x:v>
      </x:c>
      <x:c r="Q241" s="21" t="n">
        <x:v>0.15458937198067635</x:v>
      </x:c>
      <x:c r="R241" s="21" t="n">
        <x:v>1.468599033816425</x:v>
      </x:c>
      <x:c r="S241" s="21" t="n">
        <x:v>0</x:v>
      </x:c>
      <x:c r="T241" s="21" t="n">
        <x:v>0</x:v>
      </x:c>
      <x:c r="U241" s="21" t="n">
        <x:v>0</x:v>
      </x:c>
      <x:c r="V241" s="21" t="n">
        <x:v>0</x:v>
      </x:c>
      <x:c r="W241" s="21" t="n">
        <x:v>5.4106280193236715</x:v>
      </x:c>
      <x:c r="X241" s="21" t="n">
        <x:v>3.4782608695652173</x:v>
      </x:c>
      <x:c r="Y241" s="21" t="n">
        <x:v>42.589371980676326</x:v>
      </x:c>
      <x:c r="Z241" s="21" t="n">
        <x:v>0.25700483091787435</x:v>
      </x:c>
      <x:c r="AA241" s="21" t="n">
        <x:v>23.96135265700483</x:v>
      </x:c>
      <x:c r="AB241" s="21" t="n">
        <x:v>0.78</x:v>
      </x:c>
      <x:c r="AC241" s="21" t="n">
        <x:v>0</x:v>
      </x:c>
      <x:c r="AD241" s="21" t="n">
        <x:v>0</x:v>
      </x:c>
      <x:c r="AE241" s="21" t="n">
        <x:v>0</x:v>
      </x:c>
      <x:c r="AF241" s="21" t="n">
        <x:v>0</x:v>
      </x:c>
      <x:c r="AG241" s="21" t="n">
        <x:v>0</x:v>
      </x:c>
      <x:c r="AH241" s="21" t="n">
        <x:v>0</x:v>
      </x:c>
      <x:c r="AI241" s="21" t="n">
        <x:v>0</x:v>
      </x:c>
      <x:c r="AJ241" s="21" t="n">
        <x:v>0</x:v>
      </x:c>
      <x:c r="AK241" s="21" t="n">
        <x:v>0</x:v>
      </x:c>
      <x:c r="AL241" s="21" t="n">
        <x:v>0</x:v>
      </x:c>
      <x:c r="AM241" s="21" t="n">
        <x:v>0</x:v>
      </x:c>
      <x:c r="AN241" s="21" t="n">
        <x:v>1</x:v>
      </x:c>
      <x:c r="AO241" s="21" t="n">
        <x:v>1</x:v>
      </x:c>
      <x:c r="AP241" s="21" t="n">
        <x:v>1</x:v>
      </x:c>
      <x:c r="AQ241" s="21" t="n">
        <x:v>0.95</x:v>
      </x:c>
      <x:c r="AR241" s="21" t="n">
        <x:v>1</x:v>
      </x:c>
      <x:c r="AS241" s="21" t="n">
        <x:v>1</x:v>
      </x:c>
      <x:c r="AT241" s="21" t="n">
        <x:v>1</x:v>
      </x:c>
      <x:c r="AU241" s="21" t="n">
        <x:v>0</x:v>
      </x:c>
      <x:c r="AV241" s="22" t="n">
        <x:f>IF(C241="QB",N241*0.04+O241*4-P241*2+R241*0.1+S241*6,IF(OR(C241="RB",C241="WR",C241="TE"),U241*0.1+V241*6+R241*0.1+S241*6+X241*0.5+Y241*0.1+Z241*6,IF(C241="K",AC241*3+AD241*4+AE241*5+AF241,IF(C241="DST",AG241+AH241*2+AI241*6+AL241,0))))</x:f>
        <x:v>7.6869565217391305</x:v>
      </x:c>
      <x:c r="AW241" s="22" t="n">
        <x:f>(AV241+AU241)*G241</x:f>
        <x:v>0</x:v>
      </x:c>
      <x:c r="AX241" s="22" t="n">
        <x:f>MAX(0,AW241*IF(C241="QB",0.68,IF(C241="RB",0.58,IF(C241="WR",0.52,IF(C241="TE",0.50,IF(C241="K",0.55,0.40))))))</x:f>
        <x:v>0</x:v>
      </x:c>
      <x:c r="AY241" s="22" t="n">
        <x:f>AW241*IF(C241="QB",1.32,IF(C241="RB",1.45,IF(C241="WR",1.55,IF(C241="TE",1.60,IF(C241="K",1.45,1.65)))))</x:f>
        <x:v>0</x:v>
      </x:c>
      <x:c r="AZ241" s="12" t="str">
        <x:v>Low</x:v>
      </x:c>
      <x:c r="BA241" s="12" t="n">
        <x:v>9</x:v>
      </x:c>
      <x:c r="BB241" s="12"/>
      <x:c r="BC241" s="12" t="n">
        <x:v>52</x:v>
      </x:c>
      <x:c r="BD241" s="12" t="str">
        <x:v>↓</x:v>
      </x:c>
      <x:c r="BE241" s="23" t="str">
        <x:v>Reuters/ESPN, Sep. 22: expected to miss several weeks with heel injury</x:v>
      </x:c>
      <x:c r="BF241" s="23" t="str">
        <x:v>Removed from Week 3; Indianapolis routes redistributed.</x:v>
      </x:c>
      <x:c r="BG241" s="23" t="str">
        <x:v>Medical clearance and return-to-practice window</x:v>
      </x:c>
      <x:c r="BH241" s="24" t="str">
        <x:v>2026-09-23 10:35 CT</x:v>
      </x:c>
    </x:row>
    <x:row r="242">
      <x:c r="A242" s="12" t="str">
        <x:v>Trey McBride</x:v>
      </x:c>
      <x:c r="B242" s="12" t="str">
        <x:v>ARI</x:v>
      </x:c>
      <x:c r="C242" s="12" t="str">
        <x:v>TE</x:v>
      </x:c>
      <x:c r="D242" s="12" t="str">
        <x:v>SF</x:v>
      </x:c>
      <x:c r="E242" s="12" t="str">
        <x:v>Away</x:v>
      </x:c>
      <x:c r="F242" s="12" t="str">
        <x:v>2026-09-27</x:v>
      </x:c>
      <x:c r="G242" s="19" t="n">
        <x:v>1</x:v>
      </x:c>
      <x:c r="H242" s="20" t="str">
        <x:v>ACTIVE</x:v>
      </x:c>
      <x:c r="I242" s="20" t="n">
        <x:v>44</x:v>
      </x:c>
      <x:c r="J242" s="20" t="str">
        <x:v>Routes</x:v>
      </x:c>
      <x:c r="K242" s="20" t="n">
        <x:v>39.40397350993378</x:v>
      </x:c>
      <x:c r="L242" s="21" t="n">
        <x:v>0</x:v>
      </x:c>
      <x:c r="M242" s="21" t="n">
        <x:v>0</x:v>
      </x:c>
      <x:c r="N242" s="21" t="n">
        <x:v>0</x:v>
      </x:c>
      <x:c r="O242" s="21" t="n">
        <x:v>0</x:v>
      </x:c>
      <x:c r="P242" s="21" t="n">
        <x:v>0</x:v>
      </x:c>
      <x:c r="Q242" s="21" t="n">
        <x:v>0</x:v>
      </x:c>
      <x:c r="R242" s="21" t="n">
        <x:v>0</x:v>
      </x:c>
      <x:c r="S242" s="21" t="n">
        <x:v>0</x:v>
      </x:c>
      <x:c r="T242" s="21" t="n">
        <x:v>0</x:v>
      </x:c>
      <x:c r="U242" s="21" t="n">
        <x:v>0</x:v>
      </x:c>
      <x:c r="V242" s="21" t="n">
        <x:v>0</x:v>
      </x:c>
      <x:c r="W242" s="21" t="n">
        <x:v>7.880794701986755</x:v>
      </x:c>
      <x:c r="X242" s="21" t="n">
        <x:v>5.516556291390729</x:v>
      </x:c>
      <x:c r="Y242" s="21" t="n">
        <x:v>59.263576158940396</x:v>
      </x:c>
      <x:c r="Z242" s="21" t="n">
        <x:v>0.44447682119205295</x:v>
      </x:c>
      <x:c r="AA242" s="21" t="n">
        <x:v>39.40397350993378</x:v>
      </x:c>
      <x:c r="AB242" s="21" t="n">
        <x:v>0.68</x:v>
      </x:c>
      <x:c r="AC242" s="21" t="n">
        <x:v>0</x:v>
      </x:c>
      <x:c r="AD242" s="21" t="n">
        <x:v>0</x:v>
      </x:c>
      <x:c r="AE242" s="21" t="n">
        <x:v>0</x:v>
      </x:c>
      <x:c r="AF242" s="21" t="n">
        <x:v>0</x:v>
      </x:c>
      <x:c r="AG242" s="21" t="n">
        <x:v>0</x:v>
      </x:c>
      <x:c r="AH242" s="21" t="n">
        <x:v>0</x:v>
      </x:c>
      <x:c r="AI242" s="21" t="n">
        <x:v>0</x:v>
      </x:c>
      <x:c r="AJ242" s="21" t="n">
        <x:v>0</x:v>
      </x:c>
      <x:c r="AK242" s="21" t="n">
        <x:v>0</x:v>
      </x:c>
      <x:c r="AL242" s="21" t="n">
        <x:v>0</x:v>
      </x:c>
      <x:c r="AM242" s="21" t="n">
        <x:v>1</x:v>
      </x:c>
      <x:c r="AN242" s="21" t="n">
        <x:v>1</x:v>
      </x:c>
      <x:c r="AO242" s="21" t="n">
        <x:v>1</x:v>
      </x:c>
      <x:c r="AP242" s="21" t="n">
        <x:v>1</x:v>
      </x:c>
      <x:c r="AQ242" s="21" t="n">
        <x:v>0.94</x:v>
      </x:c>
      <x:c r="AR242" s="21" t="n">
        <x:v>1</x:v>
      </x:c>
      <x:c r="AS242" s="21" t="n">
        <x:v>1</x:v>
      </x:c>
      <x:c r="AT242" s="21" t="n">
        <x:v>1</x:v>
      </x:c>
      <x:c r="AU242" s="21" t="n">
        <x:v>0</x:v>
      </x:c>
      <x:c r="AV242" s="22" t="n">
        <x:f>IF(C242="QB",N242*0.04+O242*4-P242*2+R242*0.1+S242*6,IF(OR(C242="RB",C242="WR",C242="TE"),U242*0.1+V242*6+R242*0.1+S242*6+X242*0.5+Y242*0.1+Z242*6,IF(C242="K",AC242*3+AD242*4+AE242*5+AF242,IF(C242="DST",AG242+AH242*2+AI242*6+AL242,0))))</x:f>
        <x:v>11.351496688741722</x:v>
      </x:c>
      <x:c r="AW242" s="22" t="n">
        <x:f>(AV242+AU242)*G242</x:f>
        <x:v>11.351496688741722</x:v>
      </x:c>
      <x:c r="AX242" s="22" t="n">
        <x:f>MAX(0,AW242*IF(C242="QB",0.68,IF(C242="RB",0.58,IF(C242="WR",0.52,IF(C242="TE",0.50,IF(C242="K",0.55,0.40))))))</x:f>
        <x:v>5.675748344370861</x:v>
      </x:c>
      <x:c r="AY242" s="22" t="n">
        <x:f>AW242*IF(C242="QB",1.32,IF(C242="RB",1.45,IF(C242="WR",1.55,IF(C242="TE",1.60,IF(C242="K",1.45,1.65)))))</x:f>
        <x:v>18.162394701986756</x:v>
      </x:c>
      <x:c r="AZ242" s="12" t="str">
        <x:v>High</x:v>
      </x:c>
      <x:c r="BA242" s="12" t="n">
        <x:v>1</x:v>
      </x:c>
      <x:c r="BB242" s="12" t="n">
        <x:f>COUNTIFS($C$2:$C$344,C242,$AW$2:$AW$344,"&gt;"&amp;AW242,$G$2:$G$344,"&gt;0")+COUNTIFS($C$2:C242,C242,$AW$2:AW242,AW242,$G$2:G242,"&gt;0")</x:f>
        <x:v>1</x:v>
      </x:c>
      <x:c r="BC242" s="12" t="n">
        <x:v>1</x:v>
      </x:c>
      <x:c r="BD242" s="12" t="str">
        <x:f>IF(BB242&lt;BC242,"↑",IF(BB242&gt;BC242,"↓","→"))</x:f>
        <x:v>→</x:v>
      </x:c>
      <x:c r="BE242" s="23" t="str">
        <x:v>Fantasy Football Brief ROS baseline; official NFL schedule</x:v>
      </x:c>
      <x:c r="BF242" s="23" t="str">
        <x:v>Current role and availability baseline; all adjustment factors shown numerically</x:v>
      </x:c>
      <x:c r="BG242" s="23" t="str">
        <x:v>Material injury, depth-chart, or role change</x:v>
      </x:c>
      <x:c r="BH242" s="24" t="str">
        <x:v>2026-09-23 10:35 CT</x:v>
      </x:c>
    </x:row>
    <x:row r="243">
      <x:c r="A243" s="12" t="str">
        <x:v>Brock Bowers</x:v>
      </x:c>
      <x:c r="B243" s="12" t="str">
        <x:v>LV</x:v>
      </x:c>
      <x:c r="C243" s="12" t="str">
        <x:v>TE</x:v>
      </x:c>
      <x:c r="D243" s="12" t="str">
        <x:v>NO</x:v>
      </x:c>
      <x:c r="E243" s="12" t="str">
        <x:v>Away</x:v>
      </x:c>
      <x:c r="F243" s="12" t="str">
        <x:v>2026-09-27</x:v>
      </x:c>
      <x:c r="G243" s="19" t="n">
        <x:v>0.9333333333333333</x:v>
      </x:c>
      <x:c r="H243" s="20" t="str">
        <x:v>ACTIVE</x:v>
      </x:c>
      <x:c r="I243" s="20" t="n">
        <x:v>41.06666666666667</x:v>
      </x:c>
      <x:c r="J243" s="20" t="str">
        <x:v>Routes</x:v>
      </x:c>
      <x:c r="K243" s="20" t="n">
        <x:v>38.079470198675494</x:v>
      </x:c>
      <x:c r="L243" s="21" t="n">
        <x:v>0</x:v>
      </x:c>
      <x:c r="M243" s="21" t="n">
        <x:v>0</x:v>
      </x:c>
      <x:c r="N243" s="21" t="n">
        <x:v>0</x:v>
      </x:c>
      <x:c r="O243" s="21" t="n">
        <x:v>0</x:v>
      </x:c>
      <x:c r="P243" s="21" t="n">
        <x:v>0</x:v>
      </x:c>
      <x:c r="Q243" s="21" t="n">
        <x:v>0</x:v>
      </x:c>
      <x:c r="R243" s="21" t="n">
        <x:v>0</x:v>
      </x:c>
      <x:c r="S243" s="21" t="n">
        <x:v>0</x:v>
      </x:c>
      <x:c r="T243" s="21" t="n">
        <x:v>0</x:v>
      </x:c>
      <x:c r="U243" s="21" t="n">
        <x:v>0</x:v>
      </x:c>
      <x:c r="V243" s="21" t="n">
        <x:v>0</x:v>
      </x:c>
      <x:c r="W243" s="21" t="n">
        <x:v>7.6158940397351</x:v>
      </x:c>
      <x:c r="X243" s="21" t="n">
        <x:v>5.33112582781457</x:v>
      </x:c>
      <x:c r="Y243" s="21" t="n">
        <x:v>60.90278145695365</x:v>
      </x:c>
      <x:c r="Z243" s="21" t="n">
        <x:v>0.45677086092715236</x:v>
      </x:c>
      <x:c r="AA243" s="21" t="n">
        <x:v>38.079470198675494</x:v>
      </x:c>
      <x:c r="AB243" s="21" t="n">
        <x:v>0.68</x:v>
      </x:c>
      <x:c r="AC243" s="21" t="n">
        <x:v>0</x:v>
      </x:c>
      <x:c r="AD243" s="21" t="n">
        <x:v>0</x:v>
      </x:c>
      <x:c r="AE243" s="21" t="n">
        <x:v>0</x:v>
      </x:c>
      <x:c r="AF243" s="21" t="n">
        <x:v>0</x:v>
      </x:c>
      <x:c r="AG243" s="21" t="n">
        <x:v>0</x:v>
      </x:c>
      <x:c r="AH243" s="21" t="n">
        <x:v>0</x:v>
      </x:c>
      <x:c r="AI243" s="21" t="n">
        <x:v>0</x:v>
      </x:c>
      <x:c r="AJ243" s="21" t="n">
        <x:v>0</x:v>
      </x:c>
      <x:c r="AK243" s="21" t="n">
        <x:v>0</x:v>
      </x:c>
      <x:c r="AL243" s="21" t="n">
        <x:v>0</x:v>
      </x:c>
      <x:c r="AM243" s="21" t="n">
        <x:v>0.9333333333333333</x:v>
      </x:c>
      <x:c r="AN243" s="21" t="n">
        <x:v>1</x:v>
      </x:c>
      <x:c r="AO243" s="21" t="n">
        <x:v>1</x:v>
      </x:c>
      <x:c r="AP243" s="21" t="n">
        <x:v>0.98</x:v>
      </x:c>
      <x:c r="AQ243" s="21" t="n">
        <x:v>1.02</x:v>
      </x:c>
      <x:c r="AR243" s="21" t="n">
        <x:v>1</x:v>
      </x:c>
      <x:c r="AS243" s="21" t="n">
        <x:v>1</x:v>
      </x:c>
      <x:c r="AT243" s="21" t="n">
        <x:v>1</x:v>
      </x:c>
      <x:c r="AU243" s="21" t="n">
        <x:v>0</x:v>
      </x:c>
      <x:c r="AV243" s="22" t="n">
        <x:f>IF(C243="QB",N243*0.04+O243*4-P243*2+R243*0.1+S243*6,IF(OR(C243="RB",C243="WR",C243="TE"),U243*0.1+V243*6+R243*0.1+S243*6+X243*0.5+Y243*0.1+Z243*6,IF(C243="K",AC243*3+AD243*4+AE243*5+AF243,IF(C243="DST",AG243+AH243*2+AI243*6+AL243,0))))</x:f>
        <x:v>11.496466225165564</x:v>
      </x:c>
      <x:c r="AW243" s="22" t="n">
        <x:f>(AV243+AU243)*G243</x:f>
        <x:v>10.73003514348786</x:v>
      </x:c>
      <x:c r="AX243" s="22" t="n">
        <x:f>MAX(0,AW243*IF(C243="QB",0.68,IF(C243="RB",0.58,IF(C243="WR",0.52,IF(C243="TE",0.50,IF(C243="K",0.55,0.40))))))</x:f>
        <x:v>5.36501757174393</x:v>
      </x:c>
      <x:c r="AY243" s="22" t="n">
        <x:f>AW243*IF(C243="QB",1.32,IF(C243="RB",1.45,IF(C243="WR",1.55,IF(C243="TE",1.60,IF(C243="K",1.45,1.65)))))</x:f>
        <x:v>17.16805622958058</x:v>
      </x:c>
      <x:c r="AZ243" s="12" t="str">
        <x:v>Moderate</x:v>
      </x:c>
      <x:c r="BA243" s="12" t="n">
        <x:v>1</x:v>
      </x:c>
      <x:c r="BB243" s="12" t="n">
        <x:f>COUNTIFS($C$2:$C$344,C243,$AW$2:$AW$344,"&gt;"&amp;AW243,$G$2:$G$344,"&gt;0")+COUNTIFS($C$2:C243,C243,$AW$2:AW243,AW243,$G$2:G243,"&gt;0")</x:f>
        <x:v>2</x:v>
      </x:c>
      <x:c r="BC243" s="12" t="n">
        <x:v>2</x:v>
      </x:c>
      <x:c r="BD243" s="12" t="str">
        <x:f>IF(BB243&lt;BC243,"↑",IF(BB243&gt;BC243,"↓","→"))</x:f>
        <x:v>→</x:v>
      </x:c>
      <x:c r="BE243" s="23" t="str">
        <x:v>Fantasy Football Brief ROS baseline; official NFL schedule</x:v>
      </x:c>
      <x:c r="BF243" s="23" t="str">
        <x:v>Current role and availability baseline; all adjustment factors shown numerically</x:v>
      </x:c>
      <x:c r="BG243" s="23" t="str">
        <x:v>Material injury, depth-chart, or role change</x:v>
      </x:c>
      <x:c r="BH243" s="24" t="str">
        <x:v>2026-09-23 10:35 CT</x:v>
      </x:c>
    </x:row>
    <x:row r="244">
      <x:c r="A244" s="12" t="str">
        <x:v>Mark Andrews</x:v>
      </x:c>
      <x:c r="B244" s="12" t="str">
        <x:v>BAL</x:v>
      </x:c>
      <x:c r="C244" s="12" t="str">
        <x:v>TE</x:v>
      </x:c>
      <x:c r="D244" s="12" t="str">
        <x:v>DAL</x:v>
      </x:c>
      <x:c r="E244" s="12" t="str">
        <x:v>Away</x:v>
      </x:c>
      <x:c r="F244" s="12" t="str">
        <x:v>2026-09-27</x:v>
      </x:c>
      <x:c r="G244" s="19" t="n">
        <x:v>1</x:v>
      </x:c>
      <x:c r="H244" s="20" t="str">
        <x:v>ACTIVE</x:v>
      </x:c>
      <x:c r="I244" s="20" t="n">
        <x:v>47.52</x:v>
      </x:c>
      <x:c r="J244" s="20" t="str">
        <x:v>Routes</x:v>
      </x:c>
      <x:c r="K244" s="20" t="n">
        <x:v>32.54304635761589</x:v>
      </x:c>
      <x:c r="L244" s="21" t="n">
        <x:v>0</x:v>
      </x:c>
      <x:c r="M244" s="21" t="n">
        <x:v>0</x:v>
      </x:c>
      <x:c r="N244" s="21" t="n">
        <x:v>0</x:v>
      </x:c>
      <x:c r="O244" s="21" t="n">
        <x:v>0</x:v>
      </x:c>
      <x:c r="P244" s="21" t="n">
        <x:v>0</x:v>
      </x:c>
      <x:c r="Q244" s="21" t="n">
        <x:v>0</x:v>
      </x:c>
      <x:c r="R244" s="21" t="n">
        <x:v>0</x:v>
      </x:c>
      <x:c r="S244" s="21" t="n">
        <x:v>0</x:v>
      </x:c>
      <x:c r="T244" s="21" t="n">
        <x:v>0</x:v>
      </x:c>
      <x:c r="U244" s="21" t="n">
        <x:v>0</x:v>
      </x:c>
      <x:c r="V244" s="21" t="n">
        <x:v>0</x:v>
      </x:c>
      <x:c r="W244" s="21" t="n">
        <x:v>6.508609271523178</x:v>
      </x:c>
      <x:c r="X244" s="21" t="n">
        <x:v>4.556026490066225</x:v>
      </x:c>
      <x:c r="Y244" s="21" t="n">
        <x:v>56.859210596026486</x:v>
      </x:c>
      <x:c r="Z244" s="21" t="n">
        <x:v>0.42644407947019874</x:v>
      </x:c>
      <x:c r="AA244" s="21" t="n">
        <x:v>32.54304635761589</x:v>
      </x:c>
      <x:c r="AB244" s="21" t="n">
        <x:v>0.68</x:v>
      </x:c>
      <x:c r="AC244" s="21" t="n">
        <x:v>0</x:v>
      </x:c>
      <x:c r="AD244" s="21" t="n">
        <x:v>0</x:v>
      </x:c>
      <x:c r="AE244" s="21" t="n">
        <x:v>0</x:v>
      </x:c>
      <x:c r="AF244" s="21" t="n">
        <x:v>0</x:v>
      </x:c>
      <x:c r="AG244" s="21" t="n">
        <x:v>0</x:v>
      </x:c>
      <x:c r="AH244" s="21" t="n">
        <x:v>0</x:v>
      </x:c>
      <x:c r="AI244" s="21" t="n">
        <x:v>0</x:v>
      </x:c>
      <x:c r="AJ244" s="21" t="n">
        <x:v>0</x:v>
      </x:c>
      <x:c r="AK244" s="21" t="n">
        <x:v>0</x:v>
      </x:c>
      <x:c r="AL244" s="21" t="n">
        <x:v>0</x:v>
      </x:c>
      <x:c r="AM244" s="21" t="n">
        <x:v>1</x:v>
      </x:c>
      <x:c r="AN244" s="21" t="n">
        <x:v>1</x:v>
      </x:c>
      <x:c r="AO244" s="21" t="n">
        <x:v>1.08</x:v>
      </x:c>
      <x:c r="AP244" s="21" t="n">
        <x:v>1.04</x:v>
      </x:c>
      <x:c r="AQ244" s="21" t="n">
        <x:v>1.05</x:v>
      </x:c>
      <x:c r="AR244" s="21" t="n">
        <x:v>1</x:v>
      </x:c>
      <x:c r="AS244" s="21" t="n">
        <x:v>1</x:v>
      </x:c>
      <x:c r="AT244" s="21" t="n">
        <x:v>1</x:v>
      </x:c>
      <x:c r="AU244" s="21" t="n">
        <x:v>0</x:v>
      </x:c>
      <x:c r="AV244" s="22" t="n">
        <x:f>IF(C244="QB",N244*0.04+O244*4-P244*2+R244*0.1+S244*6,IF(OR(C244="RB",C244="WR",C244="TE"),U244*0.1+V244*6+R244*0.1+S244*6+X244*0.5+Y244*0.1+Z244*6,IF(C244="K",AC244*3+AD244*4+AE244*5+AF244,IF(C244="DST",AG244+AH244*2+AI244*6+AL244,0))))</x:f>
        <x:v>10.522598781456953</x:v>
      </x:c>
      <x:c r="AW244" s="22" t="n">
        <x:f>(AV244+AU244)*G244</x:f>
        <x:v>10.522598781456953</x:v>
      </x:c>
      <x:c r="AX244" s="22" t="n">
        <x:f>MAX(0,AW244*IF(C244="QB",0.68,IF(C244="RB",0.58,IF(C244="WR",0.52,IF(C244="TE",0.50,IF(C244="K",0.55,0.40))))))</x:f>
        <x:v>5.261299390728476</x:v>
      </x:c>
      <x:c r="AY244" s="22" t="n">
        <x:f>AW244*IF(C244="QB",1.32,IF(C244="RB",1.45,IF(C244="WR",1.55,IF(C244="TE",1.60,IF(C244="K",1.45,1.65)))))</x:f>
        <x:v>16.836158050331125</x:v>
      </x:c>
      <x:c r="AZ244" s="12" t="str">
        <x:v>High</x:v>
      </x:c>
      <x:c r="BA244" s="12" t="n">
        <x:v>1</x:v>
      </x:c>
      <x:c r="BB244" s="12" t="n">
        <x:f>COUNTIFS($C$2:$C$344,C244,$AW$2:$AW$344,"&gt;"&amp;AW244,$G$2:$G$344,"&gt;0")+COUNTIFS($C$2:C244,C244,$AW$2:AW244,AW244,$G$2:G244,"&gt;0")</x:f>
        <x:v>3</x:v>
      </x:c>
      <x:c r="BC244" s="12" t="n">
        <x:v>3</x:v>
      </x:c>
      <x:c r="BD244" s="12" t="str">
        <x:f>IF(BB244&lt;BC244,"↑",IF(BB244&gt;BC244,"↓","→"))</x:f>
        <x:v>→</x:v>
      </x:c>
      <x:c r="BE244" s="23" t="str">
        <x:v>Fantasy Football Brief ROS baseline; official NFL schedule</x:v>
      </x:c>
      <x:c r="BF244" s="23" t="str">
        <x:v>First target-share beneficiary if Flowers remains limited or out.</x:v>
      </x:c>
      <x:c r="BG244" s="23" t="str">
        <x:v>Flowers full practice</x:v>
      </x:c>
      <x:c r="BH244" s="24" t="str">
        <x:v>2026-09-23 10:35 CT</x:v>
      </x:c>
    </x:row>
    <x:row r="245">
      <x:c r="A245" s="12" t="str">
        <x:v>Sam LaPorta</x:v>
      </x:c>
      <x:c r="B245" s="12" t="str">
        <x:v>DET</x:v>
      </x:c>
      <x:c r="C245" s="12" t="str">
        <x:v>TE</x:v>
      </x:c>
      <x:c r="D245" s="12" t="str">
        <x:v>NYJ</x:v>
      </x:c>
      <x:c r="E245" s="12" t="str">
        <x:v>Home</x:v>
      </x:c>
      <x:c r="F245" s="12" t="str">
        <x:v>2026-09-27</x:v>
      </x:c>
      <x:c r="G245" s="19" t="n">
        <x:v>1</x:v>
      </x:c>
      <x:c r="H245" s="20" t="str">
        <x:v>ACTIVE</x:v>
      </x:c>
      <x:c r="I245" s="20" t="n">
        <x:v>44</x:v>
      </x:c>
      <x:c r="J245" s="20" t="str">
        <x:v>Routes</x:v>
      </x:c>
      <x:c r="K245" s="20" t="n">
        <x:v>32.78145695364238</x:v>
      </x:c>
      <x:c r="L245" s="21" t="n">
        <x:v>0</x:v>
      </x:c>
      <x:c r="M245" s="21" t="n">
        <x:v>0</x:v>
      </x:c>
      <x:c r="N245" s="21" t="n">
        <x:v>0</x:v>
      </x:c>
      <x:c r="O245" s="21" t="n">
        <x:v>0</x:v>
      </x:c>
      <x:c r="P245" s="21" t="n">
        <x:v>0</x:v>
      </x:c>
      <x:c r="Q245" s="21" t="n">
        <x:v>0</x:v>
      </x:c>
      <x:c r="R245" s="21" t="n">
        <x:v>0</x:v>
      </x:c>
      <x:c r="S245" s="21" t="n">
        <x:v>0</x:v>
      </x:c>
      <x:c r="T245" s="21" t="n">
        <x:v>0</x:v>
      </x:c>
      <x:c r="U245" s="21" t="n">
        <x:v>0</x:v>
      </x:c>
      <x:c r="V245" s="21" t="n">
        <x:v>0</x:v>
      </x:c>
      <x:c r="W245" s="21" t="n">
        <x:v>6.556291390728477</x:v>
      </x:c>
      <x:c r="X245" s="21" t="n">
        <x:v>4.589403973509934</x:v>
      </x:c>
      <x:c r="Y245" s="21" t="n">
        <x:v>55.64455629139073</x:v>
      </x:c>
      <x:c r="Z245" s="21" t="n">
        <x:v>0.41733417218543045</x:v>
      </x:c>
      <x:c r="AA245" s="21" t="n">
        <x:v>32.78145695364238</x:v>
      </x:c>
      <x:c r="AB245" s="21" t="n">
        <x:v>0.68</x:v>
      </x:c>
      <x:c r="AC245" s="21" t="n">
        <x:v>0</x:v>
      </x:c>
      <x:c r="AD245" s="21" t="n">
        <x:v>0</x:v>
      </x:c>
      <x:c r="AE245" s="21" t="n">
        <x:v>0</x:v>
      </x:c>
      <x:c r="AF245" s="21" t="n">
        <x:v>0</x:v>
      </x:c>
      <x:c r="AG245" s="21" t="n">
        <x:v>0</x:v>
      </x:c>
      <x:c r="AH245" s="21" t="n">
        <x:v>0</x:v>
      </x:c>
      <x:c r="AI245" s="21" t="n">
        <x:v>0</x:v>
      </x:c>
      <x:c r="AJ245" s="21" t="n">
        <x:v>0</x:v>
      </x:c>
      <x:c r="AK245" s="21" t="n">
        <x:v>0</x:v>
      </x:c>
      <x:c r="AL245" s="21" t="n">
        <x:v>0</x:v>
      </x:c>
      <x:c r="AM245" s="21" t="n">
        <x:v>1</x:v>
      </x:c>
      <x:c r="AN245" s="21" t="n">
        <x:v>1</x:v>
      </x:c>
      <x:c r="AO245" s="21" t="n">
        <x:v>1</x:v>
      </x:c>
      <x:c r="AP245" s="21" t="n">
        <x:v>1.03</x:v>
      </x:c>
      <x:c r="AQ245" s="21" t="n">
        <x:v>1.03</x:v>
      </x:c>
      <x:c r="AR245" s="21" t="n">
        <x:v>1</x:v>
      </x:c>
      <x:c r="AS245" s="21" t="n">
        <x:v>1</x:v>
      </x:c>
      <x:c r="AT245" s="21" t="n">
        <x:v>1</x:v>
      </x:c>
      <x:c r="AU245" s="21" t="n">
        <x:v>0</x:v>
      </x:c>
      <x:c r="AV245" s="22" t="n">
        <x:f>IF(C245="QB",N245*0.04+O245*4-P245*2+R245*0.1+S245*6,IF(OR(C245="RB",C245="WR",C245="TE"),U245*0.1+V245*6+R245*0.1+S245*6+X245*0.5+Y245*0.1+Z245*6,IF(C245="K",AC245*3+AD245*4+AE245*5+AF245,IF(C245="DST",AG245+AH245*2+AI245*6+AL245,0))))</x:f>
        <x:v>10.363162649006622</x:v>
      </x:c>
      <x:c r="AW245" s="22" t="n">
        <x:f>(AV245+AU245)*G245</x:f>
        <x:v>10.363162649006622</x:v>
      </x:c>
      <x:c r="AX245" s="22" t="n">
        <x:f>MAX(0,AW245*IF(C245="QB",0.68,IF(C245="RB",0.58,IF(C245="WR",0.52,IF(C245="TE",0.50,IF(C245="K",0.55,0.40))))))</x:f>
        <x:v>5.181581324503311</x:v>
      </x:c>
      <x:c r="AY245" s="22" t="n">
        <x:f>AW245*IF(C245="QB",1.32,IF(C245="RB",1.45,IF(C245="WR",1.55,IF(C245="TE",1.60,IF(C245="K",1.45,1.65)))))</x:f>
        <x:v>16.581060238410597</x:v>
      </x:c>
      <x:c r="AZ245" s="12" t="str">
        <x:v>High</x:v>
      </x:c>
      <x:c r="BA245" s="12" t="n">
        <x:v>1</x:v>
      </x:c>
      <x:c r="BB245" s="12" t="n">
        <x:f>COUNTIFS($C$2:$C$344,C245,$AW$2:$AW$344,"&gt;"&amp;AW245,$G$2:$G$344,"&gt;0")+COUNTIFS($C$2:C245,C245,$AW$2:AW245,AW245,$G$2:G245,"&gt;0")</x:f>
        <x:v>4</x:v>
      </x:c>
      <x:c r="BC245" s="12" t="n">
        <x:v>4</x:v>
      </x:c>
      <x:c r="BD245" s="12" t="str">
        <x:f>IF(BB245&lt;BC245,"↑",IF(BB245&gt;BC245,"↓","→"))</x:f>
        <x:v>→</x:v>
      </x:c>
      <x:c r="BE245" s="23" t="str">
        <x:v>Fantasy Football Brief ROS baseline; official NFL schedule</x:v>
      </x:c>
      <x:c r="BF245" s="23" t="str">
        <x:v>Current role and availability baseline; all adjustment factors shown numerically</x:v>
      </x:c>
      <x:c r="BG245" s="23" t="str">
        <x:v>Material injury, depth-chart, or role change</x:v>
      </x:c>
      <x:c r="BH245" s="24" t="str">
        <x:v>2026-09-23 10:35 CT</x:v>
      </x:c>
    </x:row>
    <x:row r="246">
      <x:c r="A246" s="12" t="str">
        <x:v>Dalton Kincaid</x:v>
      </x:c>
      <x:c r="B246" s="12" t="str">
        <x:v>BUF</x:v>
      </x:c>
      <x:c r="C246" s="12" t="str">
        <x:v>TE</x:v>
      </x:c>
      <x:c r="D246" s="12" t="str">
        <x:v>LAC</x:v>
      </x:c>
      <x:c r="E246" s="12" t="str">
        <x:v>Home</x:v>
      </x:c>
      <x:c r="F246" s="12" t="str">
        <x:v>2026-09-27</x:v>
      </x:c>
      <x:c r="G246" s="19" t="n">
        <x:v>1</x:v>
      </x:c>
      <x:c r="H246" s="20" t="str">
        <x:v>ACTIVE</x:v>
      </x:c>
      <x:c r="I246" s="20" t="n">
        <x:v>44</x:v>
      </x:c>
      <x:c r="J246" s="20" t="str">
        <x:v>Routes</x:v>
      </x:c>
      <x:c r="K246" s="20" t="n">
        <x:v>31.456953642384107</x:v>
      </x:c>
      <x:c r="L246" s="21" t="n">
        <x:v>0</x:v>
      </x:c>
      <x:c r="M246" s="21" t="n">
        <x:v>0</x:v>
      </x:c>
      <x:c r="N246" s="21" t="n">
        <x:v>0</x:v>
      </x:c>
      <x:c r="O246" s="21" t="n">
        <x:v>0</x:v>
      </x:c>
      <x:c r="P246" s="21" t="n">
        <x:v>0</x:v>
      </x:c>
      <x:c r="Q246" s="21" t="n">
        <x:v>0</x:v>
      </x:c>
      <x:c r="R246" s="21" t="n">
        <x:v>0</x:v>
      </x:c>
      <x:c r="S246" s="21" t="n">
        <x:v>0</x:v>
      </x:c>
      <x:c r="T246" s="21" t="n">
        <x:v>0</x:v>
      </x:c>
      <x:c r="U246" s="21" t="n">
        <x:v>0</x:v>
      </x:c>
      <x:c r="V246" s="21" t="n">
        <x:v>0</x:v>
      </x:c>
      <x:c r="W246" s="21" t="n">
        <x:v>6.291390728476821</x:v>
      </x:c>
      <x:c r="X246" s="21" t="n">
        <x:v>4.403973509933775</x:v>
      </x:c>
      <x:c r="Y246" s="21" t="n">
        <x:v>51.297483443708614</x:v>
      </x:c>
      <x:c r="Z246" s="21" t="n">
        <x:v>0.3847311258278146</x:v>
      </x:c>
      <x:c r="AA246" s="21" t="n">
        <x:v>31.456953642384107</x:v>
      </x:c>
      <x:c r="AB246" s="21" t="n">
        <x:v>0.68</x:v>
      </x:c>
      <x:c r="AC246" s="21" t="n">
        <x:v>0</x:v>
      </x:c>
      <x:c r="AD246" s="21" t="n">
        <x:v>0</x:v>
      </x:c>
      <x:c r="AE246" s="21" t="n">
        <x:v>0</x:v>
      </x:c>
      <x:c r="AF246" s="21" t="n">
        <x:v>0</x:v>
      </x:c>
      <x:c r="AG246" s="21" t="n">
        <x:v>0</x:v>
      </x:c>
      <x:c r="AH246" s="21" t="n">
        <x:v>0</x:v>
      </x:c>
      <x:c r="AI246" s="21" t="n">
        <x:v>0</x:v>
      </x:c>
      <x:c r="AJ246" s="21" t="n">
        <x:v>0</x:v>
      </x:c>
      <x:c r="AK246" s="21" t="n">
        <x:v>0</x:v>
      </x:c>
      <x:c r="AL246" s="21" t="n">
        <x:v>0</x:v>
      </x:c>
      <x:c r="AM246" s="21" t="n">
        <x:v>1</x:v>
      </x:c>
      <x:c r="AN246" s="21" t="n">
        <x:v>1</x:v>
      </x:c>
      <x:c r="AO246" s="21" t="n">
        <x:v>1</x:v>
      </x:c>
      <x:c r="AP246" s="21" t="n">
        <x:v>1.04</x:v>
      </x:c>
      <x:c r="AQ246" s="21" t="n">
        <x:v>0.98</x:v>
      </x:c>
      <x:c r="AR246" s="21" t="n">
        <x:v>1</x:v>
      </x:c>
      <x:c r="AS246" s="21" t="n">
        <x:v>1</x:v>
      </x:c>
      <x:c r="AT246" s="21" t="n">
        <x:v>1</x:v>
      </x:c>
      <x:c r="AU246" s="21" t="n">
        <x:v>0</x:v>
      </x:c>
      <x:c r="AV246" s="22" t="n">
        <x:f>IF(C246="QB",N246*0.04+O246*4-P246*2+R246*0.1+S246*6,IF(OR(C246="RB",C246="WR",C246="TE"),U246*0.1+V246*6+R246*0.1+S246*6+X246*0.5+Y246*0.1+Z246*6,IF(C246="K",AC246*3+AD246*4+AE246*5+AF246,IF(C246="DST",AG246+AH246*2+AI246*6+AL246,0))))</x:f>
        <x:v>9.640121854304637</x:v>
      </x:c>
      <x:c r="AW246" s="22" t="n">
        <x:f>(AV246+AU246)*G246</x:f>
        <x:v>9.640121854304637</x:v>
      </x:c>
      <x:c r="AX246" s="22" t="n">
        <x:f>MAX(0,AW246*IF(C246="QB",0.68,IF(C246="RB",0.58,IF(C246="WR",0.52,IF(C246="TE",0.50,IF(C246="K",0.55,0.40))))))</x:f>
        <x:v>4.820060927152318</x:v>
      </x:c>
      <x:c r="AY246" s="22" t="n">
        <x:f>AW246*IF(C246="QB",1.32,IF(C246="RB",1.45,IF(C246="WR",1.55,IF(C246="TE",1.60,IF(C246="K",1.45,1.65)))))</x:f>
        <x:v>15.42419496688742</x:v>
      </x:c>
      <x:c r="AZ246" s="12" t="str">
        <x:v>High</x:v>
      </x:c>
      <x:c r="BA246" s="12" t="n">
        <x:v>1</x:v>
      </x:c>
      <x:c r="BB246" s="12" t="n">
        <x:f>COUNTIFS($C$2:$C$344,C246,$AW$2:$AW$344,"&gt;"&amp;AW246,$G$2:$G$344,"&gt;0")+COUNTIFS($C$2:C246,C246,$AW$2:AW246,AW246,$G$2:G246,"&gt;0")</x:f>
        <x:v>6</x:v>
      </x:c>
      <x:c r="BC246" s="12" t="n">
        <x:v>6</x:v>
      </x:c>
      <x:c r="BD246" s="12" t="str">
        <x:f>IF(BB246&lt;BC246,"↑",IF(BB246&gt;BC246,"↓","→"))</x:f>
        <x:v>→</x:v>
      </x:c>
      <x:c r="BE246" s="23" t="str">
        <x:v>Fantasy Football Brief ROS baseline; official NFL schedule</x:v>
      </x:c>
      <x:c r="BF246" s="23" t="str">
        <x:v>Current role and availability baseline; all adjustment factors shown numerically</x:v>
      </x:c>
      <x:c r="BG246" s="23" t="str">
        <x:v>Material injury, depth-chart, or role change</x:v>
      </x:c>
      <x:c r="BH246" s="24" t="str">
        <x:v>2026-09-23 10:35 CT</x:v>
      </x:c>
    </x:row>
    <x:row r="247">
      <x:c r="A247" s="12" t="str">
        <x:v>Colston Loveland</x:v>
      </x:c>
      <x:c r="B247" s="12" t="str">
        <x:v>CHI</x:v>
      </x:c>
      <x:c r="C247" s="12" t="str">
        <x:v>TE</x:v>
      </x:c>
      <x:c r="D247" s="12" t="str">
        <x:v>PHI</x:v>
      </x:c>
      <x:c r="E247" s="12" t="str">
        <x:v>Home</x:v>
      </x:c>
      <x:c r="F247" s="12" t="str">
        <x:v>2026-09-28</x:v>
      </x:c>
      <x:c r="G247" s="19" t="n">
        <x:v>1</x:v>
      </x:c>
      <x:c r="H247" s="20" t="str">
        <x:v>ACTIVE</x:v>
      </x:c>
      <x:c r="I247" s="20" t="n">
        <x:v>45</x:v>
      </x:c>
      <x:c r="J247" s="20" t="str">
        <x:v>Routes</x:v>
      </x:c>
      <x:c r="K247" s="20" t="n">
        <x:v>27</x:v>
      </x:c>
      <x:c r="L247" s="21" t="n">
        <x:v>0</x:v>
      </x:c>
      <x:c r="M247" s="21" t="n">
        <x:v>0</x:v>
      </x:c>
      <x:c r="N247" s="21" t="n">
        <x:v>0</x:v>
      </x:c>
      <x:c r="O247" s="21" t="n">
        <x:v>0</x:v>
      </x:c>
      <x:c r="P247" s="21" t="n">
        <x:v>0</x:v>
      </x:c>
      <x:c r="Q247" s="21" t="n">
        <x:v>0</x:v>
      </x:c>
      <x:c r="R247" s="21" t="n">
        <x:v>0</x:v>
      </x:c>
      <x:c r="S247" s="21" t="n">
        <x:v>0</x:v>
      </x:c>
      <x:c r="T247" s="21" t="n">
        <x:v>0</x:v>
      </x:c>
      <x:c r="U247" s="21" t="n">
        <x:v>0</x:v>
      </x:c>
      <x:c r="V247" s="21" t="n">
        <x:v>0</x:v>
      </x:c>
      <x:c r="W247" s="21" t="n">
        <x:v>6</x:v>
      </x:c>
      <x:c r="X247" s="21" t="n">
        <x:v>4.2</x:v>
      </x:c>
      <x:c r="Y247" s="21" t="n">
        <x:v>41</x:v>
      </x:c>
      <x:c r="Z247" s="21" t="n">
        <x:v>0.24</x:v>
      </x:c>
      <x:c r="AA247" s="21" t="n">
        <x:v>27</x:v>
      </x:c>
      <x:c r="AB247" s="21" t="n">
        <x:v>0.7941176470588235</x:v>
      </x:c>
      <x:c r="AC247" s="21" t="n">
        <x:v>0</x:v>
      </x:c>
      <x:c r="AD247" s="21" t="n">
        <x:v>0</x:v>
      </x:c>
      <x:c r="AE247" s="21" t="n">
        <x:v>0</x:v>
      </x:c>
      <x:c r="AF247" s="21" t="n">
        <x:v>0</x:v>
      </x:c>
      <x:c r="AG247" s="21" t="n">
        <x:v>0</x:v>
      </x:c>
      <x:c r="AH247" s="21" t="n">
        <x:v>0</x:v>
      </x:c>
      <x:c r="AI247" s="21" t="n">
        <x:v>0</x:v>
      </x:c>
      <x:c r="AJ247" s="21" t="n">
        <x:v>0</x:v>
      </x:c>
      <x:c r="AK247" s="21" t="n">
        <x:v>0</x:v>
      </x:c>
      <x:c r="AL247" s="21" t="n">
        <x:v>0</x:v>
      </x:c>
      <x:c r="AM247" s="21" t="n">
        <x:v>1</x:v>
      </x:c>
      <x:c r="AN247" s="21" t="n">
        <x:v>1</x:v>
      </x:c>
      <x:c r="AO247" s="21" t="n">
        <x:v>1</x:v>
      </x:c>
      <x:c r="AP247" s="21" t="n">
        <x:v>0.96</x:v>
      </x:c>
      <x:c r="AQ247" s="21" t="n">
        <x:v>0.94</x:v>
      </x:c>
      <x:c r="AR247" s="21" t="n">
        <x:v>1</x:v>
      </x:c>
      <x:c r="AS247" s="21" t="n">
        <x:v>1</x:v>
      </x:c>
      <x:c r="AT247" s="21" t="n">
        <x:v>1</x:v>
      </x:c>
      <x:c r="AU247" s="21" t="n">
        <x:v>0</x:v>
      </x:c>
      <x:c r="AV247" s="22" t="n">
        <x:f>IF(C247="QB",N247*0.04+O247*4-P247*2+R247*0.1+S247*6,IF(OR(C247="RB",C247="WR",C247="TE"),U247*0.1+V247*6+R247*0.1+S247*6+X247*0.5+Y247*0.1+Z247*6,IF(C247="K",AC247*3+AD247*4+AE247*5+AF247,IF(C247="DST",AG247+AH247*2+AI247*6+AL247,0))))</x:f>
        <x:v>7.640000000000001</x:v>
      </x:c>
      <x:c r="AW247" s="22" t="n">
        <x:f>(AV247+AU247)*G247</x:f>
        <x:v>7.640000000000001</x:v>
      </x:c>
      <x:c r="AX247" s="22" t="n">
        <x:f>MAX(0,AW247*IF(C247="QB",0.68,IF(C247="RB",0.58,IF(C247="WR",0.52,IF(C247="TE",0.50,IF(C247="K",0.55,0.40))))))</x:f>
        <x:v>3.8200000000000003</x:v>
      </x:c>
      <x:c r="AY247" s="22" t="n">
        <x:f>AW247*IF(C247="QB",1.32,IF(C247="RB",1.45,IF(C247="WR",1.55,IF(C247="TE",1.60,IF(C247="K",1.45,1.65)))))</x:f>
        <x:v>12.224000000000002</x:v>
      </x:c>
      <x:c r="AZ247" s="12" t="str">
        <x:v>Moderate</x:v>
      </x:c>
      <x:c r="BA247" s="12" t="n">
        <x:v>1</x:v>
      </x:c>
      <x:c r="BB247" s="12" t="n">
        <x:f>COUNTIFS($C$2:$C$344,C247,$AW$2:$AW$344,"&gt;"&amp;AW247,$G$2:$G$344,"&gt;0")+COUNTIFS($C$2:C247,C247,$AW$2:AW247,AW247,$G$2:G247,"&gt;0")</x:f>
        <x:v>15</x:v>
      </x:c>
      <x:c r="BC247" s="12" t="n">
        <x:v>7</x:v>
      </x:c>
      <x:c r="BD247" s="12" t="str">
        <x:f>IF(BB247&lt;BC247,"↑",IF(BB247&gt;BC247,"↓","→"))</x:f>
        <x:v>↓</x:v>
      </x:c>
      <x:c r="BE247" s="23" t="str">
        <x:v>https://www.chicagobears.com/team/injury-report/</x:v>
      </x:c>
      <x:c r="BF247" s="23" t="str">
        <x:v>Thursday official report: Williams and Bagent both DNP; Keenum contingency. Editorial mixed-QB team envelope30attempts,18completions,190yards,1.0TD. No permanent ROS downgrade. Target share retained,not an automatic checkdown windfall;5–8 targets. Hold; fringeTE1/TE2 pending QB clarity.</x:v>
      </x:c>
      <x:c r="BG247" s="23" t="str">
        <x:v>Next official practice report and game-status designation</x:v>
      </x:c>
      <x:c r="BH247" s="24" t="str">
        <x:v>2026-09-24 7:40 PM CT</x:v>
      </x:c>
    </x:row>
    <x:row r="248">
      <x:c r="A248" s="12" t="str">
        <x:v>Harold Fannin Jr.</x:v>
      </x:c>
      <x:c r="B248" s="12" t="str">
        <x:v>CLE</x:v>
      </x:c>
      <x:c r="C248" s="12" t="str">
        <x:v>TE</x:v>
      </x:c>
      <x:c r="D248" s="12" t="str">
        <x:v>CAR</x:v>
      </x:c>
      <x:c r="E248" s="12" t="str">
        <x:v>Home</x:v>
      </x:c>
      <x:c r="F248" s="12" t="str">
        <x:v>2026-09-27</x:v>
      </x:c>
      <x:c r="G248" s="19" t="n">
        <x:v>1</x:v>
      </x:c>
      <x:c r="H248" s="20" t="str">
        <x:v>ACTIVE</x:v>
      </x:c>
      <x:c r="I248" s="20" t="n">
        <x:v>44</x:v>
      </x:c>
      <x:c r="J248" s="20" t="str">
        <x:v>Routes</x:v>
      </x:c>
      <x:c r="K248" s="20" t="n">
        <x:v>30.132450331125828</x:v>
      </x:c>
      <x:c r="L248" s="21" t="n">
        <x:v>0</x:v>
      </x:c>
      <x:c r="M248" s="21" t="n">
        <x:v>0</x:v>
      </x:c>
      <x:c r="N248" s="21" t="n">
        <x:v>0</x:v>
      </x:c>
      <x:c r="O248" s="21" t="n">
        <x:v>0</x:v>
      </x:c>
      <x:c r="P248" s="21" t="n">
        <x:v>0</x:v>
      </x:c>
      <x:c r="Q248" s="21" t="n">
        <x:v>0</x:v>
      </x:c>
      <x:c r="R248" s="21" t="n">
        <x:v>0</x:v>
      </x:c>
      <x:c r="S248" s="21" t="n">
        <x:v>0</x:v>
      </x:c>
      <x:c r="T248" s="21" t="n">
        <x:v>0</x:v>
      </x:c>
      <x:c r="U248" s="21" t="n">
        <x:v>0</x:v>
      </x:c>
      <x:c r="V248" s="21" t="n">
        <x:v>0</x:v>
      </x:c>
      <x:c r="W248" s="21" t="n">
        <x:v>6.026490066225165</x:v>
      </x:c>
      <x:c r="X248" s="21" t="n">
        <x:v>4.218543046357616</x:v>
      </x:c>
      <x:c r="Y248" s="21" t="n">
        <x:v>48.63618543046356</x:v>
      </x:c>
      <x:c r="Z248" s="21" t="n">
        <x:v>0.36477139072847675</x:v>
      </x:c>
      <x:c r="AA248" s="21" t="n">
        <x:v>30.132450331125828</x:v>
      </x:c>
      <x:c r="AB248" s="21" t="n">
        <x:v>0.68</x:v>
      </x:c>
      <x:c r="AC248" s="21" t="n">
        <x:v>0</x:v>
      </x:c>
      <x:c r="AD248" s="21" t="n">
        <x:v>0</x:v>
      </x:c>
      <x:c r="AE248" s="21" t="n">
        <x:v>0</x:v>
      </x:c>
      <x:c r="AF248" s="21" t="n">
        <x:v>0</x:v>
      </x:c>
      <x:c r="AG248" s="21" t="n">
        <x:v>0</x:v>
      </x:c>
      <x:c r="AH248" s="21" t="n">
        <x:v>0</x:v>
      </x:c>
      <x:c r="AI248" s="21" t="n">
        <x:v>0</x:v>
      </x:c>
      <x:c r="AJ248" s="21" t="n">
        <x:v>0</x:v>
      </x:c>
      <x:c r="AK248" s="21" t="n">
        <x:v>0</x:v>
      </x:c>
      <x:c r="AL248" s="21" t="n">
        <x:v>0</x:v>
      </x:c>
      <x:c r="AM248" s="21" t="n">
        <x:v>1</x:v>
      </x:c>
      <x:c r="AN248" s="21" t="n">
        <x:v>1</x:v>
      </x:c>
      <x:c r="AO248" s="21" t="n">
        <x:v>1</x:v>
      </x:c>
      <x:c r="AP248" s="21" t="n">
        <x:v>0.97</x:v>
      </x:c>
      <x:c r="AQ248" s="21" t="n">
        <x:v>1.04</x:v>
      </x:c>
      <x:c r="AR248" s="21" t="n">
        <x:v>1</x:v>
      </x:c>
      <x:c r="AS248" s="21" t="n">
        <x:v>1</x:v>
      </x:c>
      <x:c r="AT248" s="21" t="n">
        <x:v>1</x:v>
      </x:c>
      <x:c r="AU248" s="21" t="n">
        <x:v>0</x:v>
      </x:c>
      <x:c r="AV248" s="22" t="n">
        <x:f>IF(C248="QB",N248*0.04+O248*4-P248*2+R248*0.1+S248*6,IF(OR(C248="RB",C248="WR",C248="TE"),U248*0.1+V248*6+R248*0.1+S248*6+X248*0.5+Y248*0.1+Z248*6,IF(C248="K",AC248*3+AD248*4+AE248*5+AF248,IF(C248="DST",AG248+AH248*2+AI248*6+AL248,0))))</x:f>
        <x:v>9.161518410596026</x:v>
      </x:c>
      <x:c r="AW248" s="22" t="n">
        <x:f>(AV248+AU248)*G248</x:f>
        <x:v>9.161518410596026</x:v>
      </x:c>
      <x:c r="AX248" s="22" t="n">
        <x:f>MAX(0,AW248*IF(C248="QB",0.68,IF(C248="RB",0.58,IF(C248="WR",0.52,IF(C248="TE",0.50,IF(C248="K",0.55,0.40))))))</x:f>
        <x:v>4.580759205298013</x:v>
      </x:c>
      <x:c r="AY248" s="22" t="n">
        <x:f>AW248*IF(C248="QB",1.32,IF(C248="RB",1.45,IF(C248="WR",1.55,IF(C248="TE",1.60,IF(C248="K",1.45,1.65)))))</x:f>
        <x:v>14.658429456953641</x:v>
      </x:c>
      <x:c r="AZ248" s="12" t="str">
        <x:v>High</x:v>
      </x:c>
      <x:c r="BA248" s="12" t="n">
        <x:v>2</x:v>
      </x:c>
      <x:c r="BB248" s="12" t="n">
        <x:f>COUNTIFS($C$2:$C$344,C248,$AW$2:$AW$344,"&gt;"&amp;AW248,$G$2:$G$344,"&gt;0")+COUNTIFS($C$2:C248,C248,$AW$2:AW248,AW248,$G$2:G248,"&gt;0")</x:f>
        <x:v>7</x:v>
      </x:c>
      <x:c r="BC248" s="12" t="n">
        <x:v>8</x:v>
      </x:c>
      <x:c r="BD248" s="12" t="str">
        <x:f>IF(BB248&lt;BC248,"↑",IF(BB248&gt;BC248,"↓","→"))</x:f>
        <x:v>↑</x:v>
      </x:c>
      <x:c r="BE248" s="23" t="str">
        <x:v>Fantasy Football Brief ROS baseline; official NFL schedule</x:v>
      </x:c>
      <x:c r="BF248" s="23" t="str">
        <x:v>Current role and availability baseline; all adjustment factors shown numerically</x:v>
      </x:c>
      <x:c r="BG248" s="23" t="str">
        <x:v>Material injury, depth-chart, or role change</x:v>
      </x:c>
      <x:c r="BH248" s="24" t="str">
        <x:v>2026-09-23 10:35 CT</x:v>
      </x:c>
    </x:row>
    <x:row r="249">
      <x:c r="A249" s="12" t="str">
        <x:v>Tyler Warren</x:v>
      </x:c>
      <x:c r="B249" s="12" t="str">
        <x:v>IND</x:v>
      </x:c>
      <x:c r="C249" s="12" t="str">
        <x:v>TE</x:v>
      </x:c>
      <x:c r="D249" s="12" t="str">
        <x:v>HOU</x:v>
      </x:c>
      <x:c r="E249" s="12" t="str">
        <x:v>Home</x:v>
      </x:c>
      <x:c r="F249" s="12" t="str">
        <x:v>2026-09-27</x:v>
      </x:c>
      <x:c r="G249" s="19" t="n">
        <x:v>1</x:v>
      </x:c>
      <x:c r="H249" s="20" t="str">
        <x:v>ACTIVE</x:v>
      </x:c>
      <x:c r="I249" s="20" t="n">
        <x:v>44</x:v>
      </x:c>
      <x:c r="J249" s="20" t="str">
        <x:v>Routes</x:v>
      </x:c>
      <x:c r="K249" s="20" t="n">
        <x:v>31.456953642384107</x:v>
      </x:c>
      <x:c r="L249" s="21" t="n">
        <x:v>0</x:v>
      </x:c>
      <x:c r="M249" s="21" t="n">
        <x:v>0</x:v>
      </x:c>
      <x:c r="N249" s="21" t="n">
        <x:v>0</x:v>
      </x:c>
      <x:c r="O249" s="21" t="n">
        <x:v>0</x:v>
      </x:c>
      <x:c r="P249" s="21" t="n">
        <x:v>0</x:v>
      </x:c>
      <x:c r="Q249" s="21" t="n">
        <x:v>0</x:v>
      </x:c>
      <x:c r="R249" s="21" t="n">
        <x:v>0</x:v>
      </x:c>
      <x:c r="S249" s="21" t="n">
        <x:v>0</x:v>
      </x:c>
      <x:c r="T249" s="21" t="n">
        <x:v>0</x:v>
      </x:c>
      <x:c r="U249" s="21" t="n">
        <x:v>0</x:v>
      </x:c>
      <x:c r="V249" s="21" t="n">
        <x:v>0</x:v>
      </x:c>
      <x:c r="W249" s="21" t="n">
        <x:v>6.291390728476821</x:v>
      </x:c>
      <x:c r="X249" s="21" t="n">
        <x:v>4.403973509933775</x:v>
      </x:c>
      <x:c r="Y249" s="21" t="n">
        <x:v>47.81456953642384</x:v>
      </x:c>
      <x:c r="Z249" s="21" t="n">
        <x:v>0.3586092715231788</x:v>
      </x:c>
      <x:c r="AA249" s="21" t="n">
        <x:v>31.456953642384107</x:v>
      </x:c>
      <x:c r="AB249" s="21" t="n">
        <x:v>0.68</x:v>
      </x:c>
      <x:c r="AC249" s="21" t="n">
        <x:v>0</x:v>
      </x:c>
      <x:c r="AD249" s="21" t="n">
        <x:v>0</x:v>
      </x:c>
      <x:c r="AE249" s="21" t="n">
        <x:v>0</x:v>
      </x:c>
      <x:c r="AF249" s="21" t="n">
        <x:v>0</x:v>
      </x:c>
      <x:c r="AG249" s="21" t="n">
        <x:v>0</x:v>
      </x:c>
      <x:c r="AH249" s="21" t="n">
        <x:v>0</x:v>
      </x:c>
      <x:c r="AI249" s="21" t="n">
        <x:v>0</x:v>
      </x:c>
      <x:c r="AJ249" s="21" t="n">
        <x:v>0</x:v>
      </x:c>
      <x:c r="AK249" s="21" t="n">
        <x:v>0</x:v>
      </x:c>
      <x:c r="AL249" s="21" t="n">
        <x:v>0</x:v>
      </x:c>
      <x:c r="AM249" s="21" t="n">
        <x:v>1</x:v>
      </x:c>
      <x:c r="AN249" s="21" t="n">
        <x:v>1</x:v>
      </x:c>
      <x:c r="AO249" s="21" t="n">
        <x:v>1</x:v>
      </x:c>
      <x:c r="AP249" s="21" t="n">
        <x:v>1</x:v>
      </x:c>
      <x:c r="AQ249" s="21" t="n">
        <x:v>0.95</x:v>
      </x:c>
      <x:c r="AR249" s="21" t="n">
        <x:v>1</x:v>
      </x:c>
      <x:c r="AS249" s="21" t="n">
        <x:v>1</x:v>
      </x:c>
      <x:c r="AT249" s="21" t="n">
        <x:v>1</x:v>
      </x:c>
      <x:c r="AU249" s="21" t="n">
        <x:v>0</x:v>
      </x:c>
      <x:c r="AV249" s="22" t="n">
        <x:f>IF(C249="QB",N249*0.04+O249*4-P249*2+R249*0.1+S249*6,IF(OR(C249="RB",C249="WR",C249="TE"),U249*0.1+V249*6+R249*0.1+S249*6+X249*0.5+Y249*0.1+Z249*6,IF(C249="K",AC249*3+AD249*4+AE249*5+AF249,IF(C249="DST",AG249+AH249*2+AI249*6+AL249,0))))</x:f>
        <x:v>9.135099337748345</x:v>
      </x:c>
      <x:c r="AW249" s="22" t="n">
        <x:f>(AV249+AU249)*G249</x:f>
        <x:v>9.135099337748345</x:v>
      </x:c>
      <x:c r="AX249" s="22" t="n">
        <x:f>MAX(0,AW249*IF(C249="QB",0.68,IF(C249="RB",0.58,IF(C249="WR",0.52,IF(C249="TE",0.50,IF(C249="K",0.55,0.40))))))</x:f>
        <x:v>4.567549668874173</x:v>
      </x:c>
      <x:c r="AY249" s="22" t="n">
        <x:f>AW249*IF(C249="QB",1.32,IF(C249="RB",1.45,IF(C249="WR",1.55,IF(C249="TE",1.60,IF(C249="K",1.45,1.65)))))</x:f>
        <x:v>14.616158940397353</x:v>
      </x:c>
      <x:c r="AZ249" s="12" t="str">
        <x:v>High</x:v>
      </x:c>
      <x:c r="BA249" s="12" t="n">
        <x:v>2</x:v>
      </x:c>
      <x:c r="BB249" s="12" t="n">
        <x:f>COUNTIFS($C$2:$C$344,C249,$AW$2:$AW$344,"&gt;"&amp;AW249,$G$2:$G$344,"&gt;0")+COUNTIFS($C$2:C249,C249,$AW$2:AW249,AW249,$G$2:G249,"&gt;0")</x:f>
        <x:v>8</x:v>
      </x:c>
      <x:c r="BC249" s="12" t="n">
        <x:v>9</x:v>
      </x:c>
      <x:c r="BD249" s="12" t="str">
        <x:f>IF(BB249&lt;BC249,"↑",IF(BB249&gt;BC249,"↓","→"))</x:f>
        <x:v>↑</x:v>
      </x:c>
      <x:c r="BE249" s="23" t="str">
        <x:v>Fantasy Football Brief ROS baseline; official NFL schedule</x:v>
      </x:c>
      <x:c r="BF249" s="23" t="str">
        <x:v>Current role and availability baseline; all adjustment factors shown numerically</x:v>
      </x:c>
      <x:c r="BG249" s="23" t="str">
        <x:v>Material injury, depth-chart, or role change</x:v>
      </x:c>
      <x:c r="BH249" s="24" t="str">
        <x:v>2026-09-23 10:35 CT</x:v>
      </x:c>
    </x:row>
    <x:row r="250">
      <x:c r="A250" s="12" t="str">
        <x:v>Isaiah Likely</x:v>
      </x:c>
      <x:c r="B250" s="12" t="str">
        <x:v>NYG</x:v>
      </x:c>
      <x:c r="C250" s="12" t="str">
        <x:v>TE</x:v>
      </x:c>
      <x:c r="D250" s="12" t="str">
        <x:v>TEN</x:v>
      </x:c>
      <x:c r="E250" s="12" t="str">
        <x:v>Home</x:v>
      </x:c>
      <x:c r="F250" s="12" t="str">
        <x:v>2026-09-27</x:v>
      </x:c>
      <x:c r="G250" s="19" t="n">
        <x:v>1</x:v>
      </x:c>
      <x:c r="H250" s="20" t="str">
        <x:v>ACTIVE</x:v>
      </x:c>
      <x:c r="I250" s="20" t="n">
        <x:v>44</x:v>
      </x:c>
      <x:c r="J250" s="20" t="str">
        <x:v>Routes</x:v>
      </x:c>
      <x:c r="K250" s="20" t="n">
        <x:v>29.139072847682122</x:v>
      </x:c>
      <x:c r="L250" s="21" t="n">
        <x:v>0</x:v>
      </x:c>
      <x:c r="M250" s="21" t="n">
        <x:v>0</x:v>
      </x:c>
      <x:c r="N250" s="21" t="n">
        <x:v>0</x:v>
      </x:c>
      <x:c r="O250" s="21" t="n">
        <x:v>0</x:v>
      </x:c>
      <x:c r="P250" s="21" t="n">
        <x:v>0</x:v>
      </x:c>
      <x:c r="Q250" s="21" t="n">
        <x:v>0</x:v>
      </x:c>
      <x:c r="R250" s="21" t="n">
        <x:v>0</x:v>
      </x:c>
      <x:c r="S250" s="21" t="n">
        <x:v>0</x:v>
      </x:c>
      <x:c r="T250" s="21" t="n">
        <x:v>0</x:v>
      </x:c>
      <x:c r="U250" s="21" t="n">
        <x:v>0</x:v>
      </x:c>
      <x:c r="V250" s="21" t="n">
        <x:v>0</x:v>
      </x:c>
      <x:c r="W250" s="21" t="n">
        <x:v>5.827814569536425</x:v>
      </x:c>
      <x:c r="X250" s="21" t="n">
        <x:v>3.875496688741722</x:v>
      </x:c>
      <x:c r="Y250" s="21" t="n">
        <x:v>41.08749139072849</x:v>
      </x:c>
      <x:c r="Z250" s="21" t="n">
        <x:v>0.2910363973509934</x:v>
      </x:c>
      <x:c r="AA250" s="21" t="n">
        <x:v>29.139072847682122</x:v>
      </x:c>
      <x:c r="AB250" s="21" t="n">
        <x:v>0.68</x:v>
      </x:c>
      <x:c r="AC250" s="21" t="n">
        <x:v>0</x:v>
      </x:c>
      <x:c r="AD250" s="21" t="n">
        <x:v>0</x:v>
      </x:c>
      <x:c r="AE250" s="21" t="n">
        <x:v>0</x:v>
      </x:c>
      <x:c r="AF250" s="21" t="n">
        <x:v>0</x:v>
      </x:c>
      <x:c r="AG250" s="21" t="n">
        <x:v>0</x:v>
      </x:c>
      <x:c r="AH250" s="21" t="n">
        <x:v>0</x:v>
      </x:c>
      <x:c r="AI250" s="21" t="n">
        <x:v>0</x:v>
      </x:c>
      <x:c r="AJ250" s="21" t="n">
        <x:v>0</x:v>
      </x:c>
      <x:c r="AK250" s="21" t="n">
        <x:v>0</x:v>
      </x:c>
      <x:c r="AL250" s="21" t="n">
        <x:v>0</x:v>
      </x:c>
      <x:c r="AM250" s="21" t="n">
        <x:v>1</x:v>
      </x:c>
      <x:c r="AN250" s="21" t="n">
        <x:v>1</x:v>
      </x:c>
      <x:c r="AO250" s="21" t="n">
        <x:v>1</x:v>
      </x:c>
      <x:c r="AP250" s="21" t="n">
        <x:v>0.96</x:v>
      </x:c>
      <x:c r="AQ250" s="21" t="n">
        <x:v>1.02</x:v>
      </x:c>
      <x:c r="AR250" s="21" t="n">
        <x:v>1</x:v>
      </x:c>
      <x:c r="AS250" s="21" t="n">
        <x:v>1</x:v>
      </x:c>
      <x:c r="AT250" s="21" t="n">
        <x:v>1</x:v>
      </x:c>
      <x:c r="AU250" s="21" t="n">
        <x:v>0</x:v>
      </x:c>
      <x:c r="AV250" s="22" t="n">
        <x:f>IF(C250="QB",N250*0.04+O250*4-P250*2+R250*0.1+S250*6,IF(OR(C250="RB",C250="WR",C250="TE"),U250*0.1+V250*6+R250*0.1+S250*6+X250*0.5+Y250*0.1+Z250*6,IF(C250="K",AC250*3+AD250*4+AE250*5+AF250,IF(C250="DST",AG250+AH250*2+AI250*6+AL250,0))))</x:f>
        <x:v>7.79271586754967</x:v>
      </x:c>
      <x:c r="AW250" s="22" t="n">
        <x:f>(AV250+AU250)*G250</x:f>
        <x:v>7.79271586754967</x:v>
      </x:c>
      <x:c r="AX250" s="22" t="n">
        <x:f>MAX(0,AW250*IF(C250="QB",0.68,IF(C250="RB",0.58,IF(C250="WR",0.52,IF(C250="TE",0.50,IF(C250="K",0.55,0.40))))))</x:f>
        <x:v>3.896357933774835</x:v>
      </x:c>
      <x:c r="AY250" s="22" t="n">
        <x:f>AW250*IF(C250="QB",1.32,IF(C250="RB",1.45,IF(C250="WR",1.55,IF(C250="TE",1.60,IF(C250="K",1.45,1.65)))))</x:f>
        <x:v>12.468345388079472</x:v>
      </x:c>
      <x:c r="AZ250" s="12" t="str">
        <x:v>Moderate</x:v>
      </x:c>
      <x:c r="BA250" s="12" t="n">
        <x:v>2</x:v>
      </x:c>
      <x:c r="BB250" s="12" t="n">
        <x:f>COUNTIFS($C$2:$C$344,C250,$AW$2:$AW$344,"&gt;"&amp;AW250,$G$2:$G$344,"&gt;0")+COUNTIFS($C$2:C250,C250,$AW$2:AW250,AW250,$G$2:G250,"&gt;0")</x:f>
        <x:v>13</x:v>
      </x:c>
      <x:c r="BC250" s="12" t="n">
        <x:v>10</x:v>
      </x:c>
      <x:c r="BD250" s="12" t="str">
        <x:f>IF(BB250&lt;BC250,"↑",IF(BB250&gt;BC250,"↓","→"))</x:f>
        <x:v>↓</x:v>
      </x:c>
      <x:c r="BE250" s="23" t="str">
        <x:v>https://www.giants.com/news/jaxson-dart-to-miss-rest-of-regular-season-jameis-winston-to-start-quarterback-injury-john-harbaugh</x:v>
      </x:c>
      <x:c r="BF250" s="23" t="str">
        <x:v>Winston efficiency revision: receiving catches x0.95,yards x0.90,TD x0.85; targets/carries retained. More uncertain accuracy and scoring reduce receiver production; unranked residual explicitly retained in team budget.</x:v>
      </x:c>
      <x:c r="BG250" s="23" t="str">
        <x:v>Next official practice report and game-status designation</x:v>
      </x:c>
      <x:c r="BH250" s="24" t="str">
        <x:v>2026-09-24 7:40 PM CT</x:v>
      </x:c>
    </x:row>
    <x:row r="251">
      <x:c r="A251" s="12" t="str">
        <x:v>Travis Kelce</x:v>
      </x:c>
      <x:c r="B251" s="12" t="str">
        <x:v>KC</x:v>
      </x:c>
      <x:c r="C251" s="12" t="str">
        <x:v>TE</x:v>
      </x:c>
      <x:c r="D251" s="12" t="str">
        <x:v>MIA</x:v>
      </x:c>
      <x:c r="E251" s="12" t="str">
        <x:v>Away</x:v>
      </x:c>
      <x:c r="F251" s="12" t="str">
        <x:v>2026-09-27</x:v>
      </x:c>
      <x:c r="G251" s="19" t="n">
        <x:v>1</x:v>
      </x:c>
      <x:c r="H251" s="20" t="str">
        <x:v>ACTIVE</x:v>
      </x:c>
      <x:c r="I251" s="20" t="n">
        <x:v>44</x:v>
      </x:c>
      <x:c r="J251" s="20" t="str">
        <x:v>Routes</x:v>
      </x:c>
      <x:c r="K251" s="20" t="n">
        <x:v>27.1523178807947</x:v>
      </x:c>
      <x:c r="L251" s="21" t="n">
        <x:v>0</x:v>
      </x:c>
      <x:c r="M251" s="21" t="n">
        <x:v>0</x:v>
      </x:c>
      <x:c r="N251" s="21" t="n">
        <x:v>0</x:v>
      </x:c>
      <x:c r="O251" s="21" t="n">
        <x:v>0</x:v>
      </x:c>
      <x:c r="P251" s="21" t="n">
        <x:v>0</x:v>
      </x:c>
      <x:c r="Q251" s="21" t="n">
        <x:v>0</x:v>
      </x:c>
      <x:c r="R251" s="21" t="n">
        <x:v>0</x:v>
      </x:c>
      <x:c r="S251" s="21" t="n">
        <x:v>0</x:v>
      </x:c>
      <x:c r="T251" s="21" t="n">
        <x:v>0</x:v>
      </x:c>
      <x:c r="U251" s="21" t="n">
        <x:v>0</x:v>
      </x:c>
      <x:c r="V251" s="21" t="n">
        <x:v>0</x:v>
      </x:c>
      <x:c r="W251" s="21" t="n">
        <x:v>5.430463576158941</x:v>
      </x:c>
      <x:c r="X251" s="21" t="n">
        <x:v>3.801324503311258</x:v>
      </x:c>
      <x:c r="Y251" s="21" t="n">
        <x:v>46.08943046357616</x:v>
      </x:c>
      <x:c r="Z251" s="21" t="n">
        <x:v>0.3456707284768212</x:v>
      </x:c>
      <x:c r="AA251" s="21" t="n">
        <x:v>27.1523178807947</x:v>
      </x:c>
      <x:c r="AB251" s="21" t="n">
        <x:v>0.68</x:v>
      </x:c>
      <x:c r="AC251" s="21" t="n">
        <x:v>0</x:v>
      </x:c>
      <x:c r="AD251" s="21" t="n">
        <x:v>0</x:v>
      </x:c>
      <x:c r="AE251" s="21" t="n">
        <x:v>0</x:v>
      </x:c>
      <x:c r="AF251" s="21" t="n">
        <x:v>0</x:v>
      </x:c>
      <x:c r="AG251" s="21" t="n">
        <x:v>0</x:v>
      </x:c>
      <x:c r="AH251" s="21" t="n">
        <x:v>0</x:v>
      </x:c>
      <x:c r="AI251" s="21" t="n">
        <x:v>0</x:v>
      </x:c>
      <x:c r="AJ251" s="21" t="n">
        <x:v>0</x:v>
      </x:c>
      <x:c r="AK251" s="21" t="n">
        <x:v>0</x:v>
      </x:c>
      <x:c r="AL251" s="21" t="n">
        <x:v>0</x:v>
      </x:c>
      <x:c r="AM251" s="21" t="n">
        <x:v>1</x:v>
      </x:c>
      <x:c r="AN251" s="21" t="n">
        <x:v>1</x:v>
      </x:c>
      <x:c r="AO251" s="21" t="n">
        <x:v>1</x:v>
      </x:c>
      <x:c r="AP251" s="21" t="n">
        <x:v>1.03</x:v>
      </x:c>
      <x:c r="AQ251" s="21" t="n">
        <x:v>1.03</x:v>
      </x:c>
      <x:c r="AR251" s="21" t="n">
        <x:v>1</x:v>
      </x:c>
      <x:c r="AS251" s="21" t="n">
        <x:v>1</x:v>
      </x:c>
      <x:c r="AT251" s="21" t="n">
        <x:v>1</x:v>
      </x:c>
      <x:c r="AU251" s="21" t="n">
        <x:v>0</x:v>
      </x:c>
      <x:c r="AV251" s="22" t="n">
        <x:f>IF(C251="QB",N251*0.04+O251*4-P251*2+R251*0.1+S251*6,IF(OR(C251="RB",C251="WR",C251="TE"),U251*0.1+V251*6+R251*0.1+S251*6+X251*0.5+Y251*0.1+Z251*6,IF(C251="K",AC251*3+AD251*4+AE251*5+AF251,IF(C251="DST",AG251+AH251*2+AI251*6+AL251,0))))</x:f>
        <x:v>8.583629668874172</x:v>
      </x:c>
      <x:c r="AW251" s="22" t="n">
        <x:f>(AV251+AU251)*G251</x:f>
        <x:v>8.583629668874172</x:v>
      </x:c>
      <x:c r="AX251" s="22" t="n">
        <x:f>MAX(0,AW251*IF(C251="QB",0.68,IF(C251="RB",0.58,IF(C251="WR",0.52,IF(C251="TE",0.50,IF(C251="K",0.55,0.40))))))</x:f>
        <x:v>4.291814834437086</x:v>
      </x:c>
      <x:c r="AY251" s="22" t="n">
        <x:f>AW251*IF(C251="QB",1.32,IF(C251="RB",1.45,IF(C251="WR",1.55,IF(C251="TE",1.60,IF(C251="K",1.45,1.65)))))</x:f>
        <x:v>13.733807470198677</x:v>
      </x:c>
      <x:c r="AZ251" s="12" t="str">
        <x:v>High</x:v>
      </x:c>
      <x:c r="BA251" s="12" t="n">
        <x:v>2</x:v>
      </x:c>
      <x:c r="BB251" s="12" t="n">
        <x:f>COUNTIFS($C$2:$C$344,C251,$AW$2:$AW$344,"&gt;"&amp;AW251,$G$2:$G$344,"&gt;0")+COUNTIFS($C$2:C251,C251,$AW$2:AW251,AW251,$G$2:G251,"&gt;0")</x:f>
        <x:v>10</x:v>
      </x:c>
      <x:c r="BC251" s="12" t="n">
        <x:v>11</x:v>
      </x:c>
      <x:c r="BD251" s="12" t="str">
        <x:f>IF(BB251&lt;BC251,"↑",IF(BB251&gt;BC251,"↓","→"))</x:f>
        <x:v>↑</x:v>
      </x:c>
      <x:c r="BE251" s="23" t="str">
        <x:v>Fantasy Football Brief ROS baseline; official NFL schedule</x:v>
      </x:c>
      <x:c r="BF251" s="23" t="str">
        <x:v>Current role and availability baseline; all adjustment factors shown numerically</x:v>
      </x:c>
      <x:c r="BG251" s="23" t="str">
        <x:v>Material injury, depth-chart, or role change</x:v>
      </x:c>
      <x:c r="BH251" s="24" t="str">
        <x:v>2026-09-23 10:35 CT</x:v>
      </x:c>
    </x:row>
    <x:row r="252">
      <x:c r="A252" s="12" t="str">
        <x:v>Tucker Kraft</x:v>
      </x:c>
      <x:c r="B252" s="12" t="str">
        <x:v>GB</x:v>
      </x:c>
      <x:c r="C252" s="12" t="str">
        <x:v>TE</x:v>
      </x:c>
      <x:c r="D252" s="12" t="str">
        <x:v>ATL</x:v>
      </x:c>
      <x:c r="E252" s="12" t="str">
        <x:v>Home</x:v>
      </x:c>
      <x:c r="F252" s="12" t="str">
        <x:v>2026-09-24</x:v>
      </x:c>
      <x:c r="G252" s="19" t="n">
        <x:v>1</x:v>
      </x:c>
      <x:c r="H252" s="20" t="str">
        <x:v>ACTIVE</x:v>
      </x:c>
      <x:c r="I252" s="20" t="n">
        <x:v>47</x:v>
      </x:c>
      <x:c r="J252" s="20" t="str">
        <x:v>Routes</x:v>
      </x:c>
      <x:c r="K252" s="20" t="n">
        <x:v>28</x:v>
      </x:c>
      <x:c r="L252" s="21" t="n">
        <x:v>0</x:v>
      </x:c>
      <x:c r="M252" s="21" t="n">
        <x:v>0</x:v>
      </x:c>
      <x:c r="N252" s="21" t="n">
        <x:v>0</x:v>
      </x:c>
      <x:c r="O252" s="21" t="n">
        <x:v>0</x:v>
      </x:c>
      <x:c r="P252" s="21" t="n">
        <x:v>0</x:v>
      </x:c>
      <x:c r="Q252" s="21" t="n">
        <x:v>0</x:v>
      </x:c>
      <x:c r="R252" s="21" t="n">
        <x:v>0</x:v>
      </x:c>
      <x:c r="S252" s="21" t="n">
        <x:v>0</x:v>
      </x:c>
      <x:c r="T252" s="21" t="n">
        <x:v>0</x:v>
      </x:c>
      <x:c r="U252" s="21" t="n">
        <x:v>0</x:v>
      </x:c>
      <x:c r="V252" s="21" t="n">
        <x:v>0</x:v>
      </x:c>
      <x:c r="W252" s="21" t="n">
        <x:v>6.5</x:v>
      </x:c>
      <x:c r="X252" s="21" t="n">
        <x:v>4.5</x:v>
      </x:c>
      <x:c r="Y252" s="21" t="n">
        <x:v>52</x:v>
      </x:c>
      <x:c r="Z252" s="21" t="n">
        <x:v>0.39</x:v>
      </x:c>
      <x:c r="AA252" s="21" t="n">
        <x:v>28</x:v>
      </x:c>
      <x:c r="AB252" s="21" t="n">
        <x:v>0.8235294117647058</x:v>
      </x:c>
      <x:c r="AC252" s="21" t="n">
        <x:v>0</x:v>
      </x:c>
      <x:c r="AD252" s="21" t="n">
        <x:v>0</x:v>
      </x:c>
      <x:c r="AE252" s="21" t="n">
        <x:v>0</x:v>
      </x:c>
      <x:c r="AF252" s="21" t="n">
        <x:v>0</x:v>
      </x:c>
      <x:c r="AG252" s="21" t="n">
        <x:v>0</x:v>
      </x:c>
      <x:c r="AH252" s="21" t="n">
        <x:v>0</x:v>
      </x:c>
      <x:c r="AI252" s="21" t="n">
        <x:v>0</x:v>
      </x:c>
      <x:c r="AJ252" s="21" t="n">
        <x:v>0</x:v>
      </x:c>
      <x:c r="AK252" s="21" t="n">
        <x:v>0</x:v>
      </x:c>
      <x:c r="AL252" s="21" t="n">
        <x:v>0</x:v>
      </x:c>
      <x:c r="AM252" s="21" t="n">
        <x:v>1</x:v>
      </x:c>
      <x:c r="AN252" s="21" t="n">
        <x:v>1</x:v>
      </x:c>
      <x:c r="AO252" s="21" t="n">
        <x:v>1</x:v>
      </x:c>
      <x:c r="AP252" s="21" t="n">
        <x:v>1.02</x:v>
      </x:c>
      <x:c r="AQ252" s="21" t="n">
        <x:v>1</x:v>
      </x:c>
      <x:c r="AR252" s="21" t="n">
        <x:v>1</x:v>
      </x:c>
      <x:c r="AS252" s="21" t="n">
        <x:v>1</x:v>
      </x:c>
      <x:c r="AT252" s="21" t="n">
        <x:v>1</x:v>
      </x:c>
      <x:c r="AU252" s="21" t="n">
        <x:v>0</x:v>
      </x:c>
      <x:c r="AV252" s="22" t="n">
        <x:f>IF(C252="QB",N252*0.04+O252*4-P252*2+R252*0.1+S252*6,IF(OR(C252="RB",C252="WR",C252="TE"),U252*0.1+V252*6+R252*0.1+S252*6+X252*0.5+Y252*0.1+Z252*6,IF(C252="K",AC252*3+AD252*4+AE252*5+AF252,IF(C252="DST",AG252+AH252*2+AI252*6+AL252,0))))</x:f>
        <x:v>9.79</x:v>
      </x:c>
      <x:c r="AW252" s="22" t="n">
        <x:f>(AV252+AU252)*G252</x:f>
        <x:v>9.79</x:v>
      </x:c>
      <x:c r="AX252" s="22" t="n">
        <x:f>MAX(0,AW252*IF(C252="QB",0.68,IF(C252="RB",0.58,IF(C252="WR",0.52,IF(C252="TE",0.50,IF(C252="K",0.55,0.40))))))</x:f>
        <x:v>4.895</x:v>
      </x:c>
      <x:c r="AY252" s="22" t="n">
        <x:f>AW252*IF(C252="QB",1.32,IF(C252="RB",1.45,IF(C252="WR",1.55,IF(C252="TE",1.60,IF(C252="K",1.45,1.65)))))</x:f>
        <x:v>15.664</x:v>
      </x:c>
      <x:c r="AZ252" s="12" t="str">
        <x:v>Moderate</x:v>
      </x:c>
      <x:c r="BA252" s="12" t="n">
        <x:v>2</x:v>
      </x:c>
      <x:c r="BB252" s="12" t="n">
        <x:f>COUNTIFS($C$2:$C$344,C252,$AW$2:$AW$344,"&gt;"&amp;AW252,$G$2:$G$344,"&gt;0")+COUNTIFS($C$2:C252,C252,$AW$2:AW252,AW252,$G$2:G252,"&gt;0")</x:f>
        <x:v>5</x:v>
      </x:c>
      <x:c r="BC252" s="12" t="n">
        <x:v>5</x:v>
      </x:c>
      <x:c r="BD252" s="12" t="str">
        <x:f>IF(BB252&lt;BC252,"↑",IF(BB252&gt;BC252,"↓","→"))</x:f>
        <x:v>→</x:v>
      </x:c>
      <x:c r="BE252" s="23" t="str">
        <x:v>https://static.clubs.nfl.com/image/upload/packers/zu3fdftopjkj8hkcwckc</x:v>
      </x:c>
      <x:c r="BF252" s="23" t="str">
        <x:v>Corrected pregame workload model; no Week 3 results used. Week 2 gamebook: Watson 11 targets, Golden 6; forecast routes capped by 34 dropbacks. Team stat budget replaces additive route transfer. Middle-field beneficiary; 5–8 target range, red-zone share 28%, two-minute routes 75–90%.</x:v>
      </x:c>
      <x:c r="BG252" s="23" t="str">
        <x:v>Next official practice report and game-status designation</x:v>
      </x:c>
      <x:c r="BH252" s="24" t="str">
        <x:v>2026-09-24 7:40 PM CT</x:v>
      </x:c>
    </x:row>
    <x:row r="253">
      <x:c r="A253" s="12" t="str">
        <x:v>Terrance Ferguson</x:v>
      </x:c>
      <x:c r="B253" s="12" t="str">
        <x:v>LAR</x:v>
      </x:c>
      <x:c r="C253" s="12" t="str">
        <x:v>TE</x:v>
      </x:c>
      <x:c r="D253" s="12" t="str">
        <x:v>DEN</x:v>
      </x:c>
      <x:c r="E253" s="12" t="str">
        <x:v>Away</x:v>
      </x:c>
      <x:c r="F253" s="12" t="str">
        <x:v>2026-09-27</x:v>
      </x:c>
      <x:c r="G253" s="19" t="n">
        <x:v>1</x:v>
      </x:c>
      <x:c r="H253" s="20" t="str">
        <x:v>ACTIVE</x:v>
      </x:c>
      <x:c r="I253" s="20" t="n">
        <x:v>47</x:v>
      </x:c>
      <x:c r="J253" s="20" t="str">
        <x:v>Routes</x:v>
      </x:c>
      <x:c r="K253" s="20" t="n">
        <x:v>27</x:v>
      </x:c>
      <x:c r="L253" s="21" t="n">
        <x:v>0</x:v>
      </x:c>
      <x:c r="M253" s="21" t="n">
        <x:v>0</x:v>
      </x:c>
      <x:c r="N253" s="21" t="n">
        <x:v>0</x:v>
      </x:c>
      <x:c r="O253" s="21" t="n">
        <x:v>0</x:v>
      </x:c>
      <x:c r="P253" s="21" t="n">
        <x:v>0</x:v>
      </x:c>
      <x:c r="Q253" s="21" t="n">
        <x:v>0</x:v>
      </x:c>
      <x:c r="R253" s="21" t="n">
        <x:v>0</x:v>
      </x:c>
      <x:c r="S253" s="21" t="n">
        <x:v>0</x:v>
      </x:c>
      <x:c r="T253" s="21" t="n">
        <x:v>0</x:v>
      </x:c>
      <x:c r="U253" s="21" t="n">
        <x:v>0</x:v>
      </x:c>
      <x:c r="V253" s="21" t="n">
        <x:v>0</x:v>
      </x:c>
      <x:c r="W253" s="21" t="n">
        <x:v>6.25</x:v>
      </x:c>
      <x:c r="X253" s="21" t="n">
        <x:v>4.4</x:v>
      </x:c>
      <x:c r="Y253" s="21" t="n">
        <x:v>47</x:v>
      </x:c>
      <x:c r="Z253" s="21" t="n">
        <x:v>0.35</x:v>
      </x:c>
      <x:c r="AA253" s="21" t="n">
        <x:v>27</x:v>
      </x:c>
      <x:c r="AB253" s="21" t="n">
        <x:v>0.75</x:v>
      </x:c>
      <x:c r="AC253" s="21" t="n">
        <x:v>0</x:v>
      </x:c>
      <x:c r="AD253" s="21" t="n">
        <x:v>0</x:v>
      </x:c>
      <x:c r="AE253" s="21" t="n">
        <x:v>0</x:v>
      </x:c>
      <x:c r="AF253" s="21" t="n">
        <x:v>0</x:v>
      </x:c>
      <x:c r="AG253" s="21" t="n">
        <x:v>0</x:v>
      </x:c>
      <x:c r="AH253" s="21" t="n">
        <x:v>0</x:v>
      </x:c>
      <x:c r="AI253" s="21" t="n">
        <x:v>0</x:v>
      </x:c>
      <x:c r="AJ253" s="21" t="n">
        <x:v>0</x:v>
      </x:c>
      <x:c r="AK253" s="21" t="n">
        <x:v>0</x:v>
      </x:c>
      <x:c r="AL253" s="21" t="n">
        <x:v>0</x:v>
      </x:c>
      <x:c r="AM253" s="21" t="n">
        <x:v>1</x:v>
      </x:c>
      <x:c r="AN253" s="21" t="n">
        <x:v>1</x:v>
      </x:c>
      <x:c r="AO253" s="21" t="n">
        <x:v>1</x:v>
      </x:c>
      <x:c r="AP253" s="21" t="n">
        <x:v>1.03</x:v>
      </x:c>
      <x:c r="AQ253" s="21" t="n">
        <x:v>0.92</x:v>
      </x:c>
      <x:c r="AR253" s="21" t="n">
        <x:v>1</x:v>
      </x:c>
      <x:c r="AS253" s="21" t="n">
        <x:v>1</x:v>
      </x:c>
      <x:c r="AT253" s="21" t="n">
        <x:v>1</x:v>
      </x:c>
      <x:c r="AU253" s="21" t="n">
        <x:v>0</x:v>
      </x:c>
      <x:c r="AV253" s="22" t="n">
        <x:f>IF(C253="QB",N253*0.04+O253*4-P253*2+R253*0.1+S253*6,IF(OR(C253="RB",C253="WR",C253="TE"),U253*0.1+V253*6+R253*0.1+S253*6+X253*0.5+Y253*0.1+Z253*6,IF(C253="K",AC253*3+AD253*4+AE253*5+AF253,IF(C253="DST",AG253+AH253*2+AI253*6+AL253,0))))</x:f>
        <x:v>9</x:v>
      </x:c>
      <x:c r="AW253" s="22" t="n">
        <x:f>(AV253+AU253)*G253</x:f>
        <x:v>9</x:v>
      </x:c>
      <x:c r="AX253" s="22" t="n">
        <x:f>MAX(0,AW253*IF(C253="QB",0.68,IF(C253="RB",0.58,IF(C253="WR",0.52,IF(C253="TE",0.50,IF(C253="K",0.55,0.40))))))</x:f>
        <x:v>4.5</x:v>
      </x:c>
      <x:c r="AY253" s="22" t="n">
        <x:f>AW253*IF(C253="QB",1.32,IF(C253="RB",1.45,IF(C253="WR",1.55,IF(C253="TE",1.60,IF(C253="K",1.45,1.65)))))</x:f>
        <x:v>14.4</x:v>
      </x:c>
      <x:c r="AZ253" s="12" t="str">
        <x:v>Moderate</x:v>
      </x:c>
      <x:c r="BA253" s="12" t="n">
        <x:v>2</x:v>
      </x:c>
      <x:c r="BB253" s="12" t="n">
        <x:f>COUNTIFS($C$2:$C$344,C253,$AW$2:$AW$344,"&gt;"&amp;AW253,$G$2:$G$344,"&gt;0")+COUNTIFS($C$2:C253,C253,$AW$2:AW253,AW253,$G$2:G253,"&gt;0")</x:f>
        <x:v>9</x:v>
      </x:c>
      <x:c r="BC253" s="12" t="n">
        <x:v>12</x:v>
      </x:c>
      <x:c r="BD253" s="12" t="str">
        <x:f>IF(BB253&lt;BC253,"↑",IF(BB253&gt;BC253,"↓","→"))</x:f>
        <x:v>↑</x:v>
      </x:c>
      <x:c r="BE253" s="23" t="str">
        <x:v>https://www.therams.com/team/injury-report/</x:v>
      </x:c>
      <x:c r="BF253" s="23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BG253" s="23" t="str">
        <x:v>Next official practice report and game-status designation</x:v>
      </x:c>
      <x:c r="BH253" s="24" t="str">
        <x:v>2026-09-24 7:40 PM CT</x:v>
      </x:c>
    </x:row>
    <x:row r="254">
      <x:c r="A254" s="12" t="str">
        <x:v>George Kittle</x:v>
      </x:c>
      <x:c r="B254" s="12" t="str">
        <x:v>SF</x:v>
      </x:c>
      <x:c r="C254" s="12" t="str">
        <x:v>TE</x:v>
      </x:c>
      <x:c r="D254" s="12" t="str">
        <x:v>ARI</x:v>
      </x:c>
      <x:c r="E254" s="12" t="str">
        <x:v>Home</x:v>
      </x:c>
      <x:c r="F254" s="12" t="str">
        <x:v>2026-09-27</x:v>
      </x:c>
      <x:c r="G254" s="19" t="n">
        <x:v>1</x:v>
      </x:c>
      <x:c r="H254" s="20" t="str">
        <x:v>ACTIVE</x:v>
      </x:c>
      <x:c r="I254" s="20" t="n">
        <x:v>44</x:v>
      </x:c>
      <x:c r="J254" s="20" t="str">
        <x:v>Routes</x:v>
      </x:c>
      <x:c r="K254" s="20" t="n">
        <x:v>25.82781456953642</x:v>
      </x:c>
      <x:c r="L254" s="21" t="n">
        <x:v>0</x:v>
      </x:c>
      <x:c r="M254" s="21" t="n">
        <x:v>0</x:v>
      </x:c>
      <x:c r="N254" s="21" t="n">
        <x:v>0</x:v>
      </x:c>
      <x:c r="O254" s="21" t="n">
        <x:v>0</x:v>
      </x:c>
      <x:c r="P254" s="21" t="n">
        <x:v>0</x:v>
      </x:c>
      <x:c r="Q254" s="21" t="n">
        <x:v>0</x:v>
      </x:c>
      <x:c r="R254" s="21" t="n">
        <x:v>0</x:v>
      </x:c>
      <x:c r="S254" s="21" t="n">
        <x:v>0</x:v>
      </x:c>
      <x:c r="T254" s="21" t="n">
        <x:v>0</x:v>
      </x:c>
      <x:c r="U254" s="21" t="n">
        <x:v>0</x:v>
      </x:c>
      <x:c r="V254" s="21" t="n">
        <x:v>0</x:v>
      </x:c>
      <x:c r="W254" s="21" t="n">
        <x:v>5.1655629139072845</x:v>
      </x:c>
      <x:c r="X254" s="21" t="n">
        <x:v>3.615894039735099</x:v>
      </x:c>
      <x:c r="Y254" s="21" t="n">
        <x:v>42.150993377483445</x:v>
      </x:c>
      <x:c r="Z254" s="21" t="n">
        <x:v>0.3161324503311258</x:v>
      </x:c>
      <x:c r="AA254" s="21" t="n">
        <x:v>25.82781456953642</x:v>
      </x:c>
      <x:c r="AB254" s="21" t="n">
        <x:v>0.68</x:v>
      </x:c>
      <x:c r="AC254" s="21" t="n">
        <x:v>0</x:v>
      </x:c>
      <x:c r="AD254" s="21" t="n">
        <x:v>0</x:v>
      </x:c>
      <x:c r="AE254" s="21" t="n">
        <x:v>0</x:v>
      </x:c>
      <x:c r="AF254" s="21" t="n">
        <x:v>0</x:v>
      </x:c>
      <x:c r="AG254" s="21" t="n">
        <x:v>0</x:v>
      </x:c>
      <x:c r="AH254" s="21" t="n">
        <x:v>0</x:v>
      </x:c>
      <x:c r="AI254" s="21" t="n">
        <x:v>0</x:v>
      </x:c>
      <x:c r="AJ254" s="21" t="n">
        <x:v>0</x:v>
      </x:c>
      <x:c r="AK254" s="21" t="n">
        <x:v>0</x:v>
      </x:c>
      <x:c r="AL254" s="21" t="n">
        <x:v>0</x:v>
      </x:c>
      <x:c r="AM254" s="21" t="n">
        <x:v>1</x:v>
      </x:c>
      <x:c r="AN254" s="21" t="n">
        <x:v>1</x:v>
      </x:c>
      <x:c r="AO254" s="21" t="n">
        <x:v>1</x:v>
      </x:c>
      <x:c r="AP254" s="21" t="n">
        <x:v>1.02</x:v>
      </x:c>
      <x:c r="AQ254" s="21" t="n">
        <x:v>1</x:v>
      </x:c>
      <x:c r="AR254" s="21" t="n">
        <x:v>1</x:v>
      </x:c>
      <x:c r="AS254" s="21" t="n">
        <x:v>1</x:v>
      </x:c>
      <x:c r="AT254" s="21" t="n">
        <x:v>1</x:v>
      </x:c>
      <x:c r="AU254" s="21" t="n">
        <x:v>0</x:v>
      </x:c>
      <x:c r="AV254" s="22" t="n">
        <x:f>IF(C254="QB",N254*0.04+O254*4-P254*2+R254*0.1+S254*6,IF(OR(C254="RB",C254="WR",C254="TE"),U254*0.1+V254*6+R254*0.1+S254*6+X254*0.5+Y254*0.1+Z254*6,IF(C254="K",AC254*3+AD254*4+AE254*5+AF254,IF(C254="DST",AG254+AH254*2+AI254*6+AL254,0))))</x:f>
        <x:v>7.919841059602649</x:v>
      </x:c>
      <x:c r="AW254" s="22" t="n">
        <x:f>(AV254+AU254)*G254</x:f>
        <x:v>7.919841059602649</x:v>
      </x:c>
      <x:c r="AX254" s="22" t="n">
        <x:f>MAX(0,AW254*IF(C254="QB",0.68,IF(C254="RB",0.58,IF(C254="WR",0.52,IF(C254="TE",0.50,IF(C254="K",0.55,0.40))))))</x:f>
        <x:v>3.9599205298013245</x:v>
      </x:c>
      <x:c r="AY254" s="22" t="n">
        <x:f>AW254*IF(C254="QB",1.32,IF(C254="RB",1.45,IF(C254="WR",1.55,IF(C254="TE",1.60,IF(C254="K",1.45,1.65)))))</x:f>
        <x:v>12.671745695364239</x:v>
      </x:c>
      <x:c r="AZ254" s="12" t="str">
        <x:v>High</x:v>
      </x:c>
      <x:c r="BA254" s="12" t="n">
        <x:v>3</x:v>
      </x:c>
      <x:c r="BB254" s="12" t="n">
        <x:f>COUNTIFS($C$2:$C$344,C254,$AW$2:$AW$344,"&gt;"&amp;AW254,$G$2:$G$344,"&gt;0")+COUNTIFS($C$2:C254,C254,$AW$2:AW254,AW254,$G$2:G254,"&gt;0")</x:f>
        <x:v>11</x:v>
      </x:c>
      <x:c r="BC254" s="12" t="n">
        <x:v>13</x:v>
      </x:c>
      <x:c r="BD254" s="12" t="str">
        <x:f>IF(BB254&lt;BC254,"↑",IF(BB254&gt;BC254,"↓","→"))</x:f>
        <x:v>↑</x:v>
      </x:c>
      <x:c r="BE254" s="23" t="str">
        <x:v>Fantasy Football Brief ROS baseline; official NFL schedule</x:v>
      </x:c>
      <x:c r="BF254" s="23" t="str">
        <x:v>Current role and availability baseline; all adjustment factors shown numerically</x:v>
      </x:c>
      <x:c r="BG254" s="23" t="str">
        <x:v>Material injury, depth-chart, or role change</x:v>
      </x:c>
      <x:c r="BH254" s="24" t="str">
        <x:v>2026-09-23 10:35 CT</x:v>
      </x:c>
    </x:row>
    <x:row r="255">
      <x:c r="A255" s="12" t="str">
        <x:v>Jake Ferguson</x:v>
      </x:c>
      <x:c r="B255" s="12" t="str">
        <x:v>DAL</x:v>
      </x:c>
      <x:c r="C255" s="12" t="str">
        <x:v>TE</x:v>
      </x:c>
      <x:c r="D255" s="12" t="str">
        <x:v>BAL</x:v>
      </x:c>
      <x:c r="E255" s="12" t="str">
        <x:v>Home</x:v>
      </x:c>
      <x:c r="F255" s="12" t="str">
        <x:v>2026-09-27</x:v>
      </x:c>
      <x:c r="G255" s="19" t="n">
        <x:v>1</x:v>
      </x:c>
      <x:c r="H255" s="20" t="str">
        <x:v>ACTIVE</x:v>
      </x:c>
      <x:c r="I255" s="20" t="n">
        <x:v>44</x:v>
      </x:c>
      <x:c r="J255" s="20" t="str">
        <x:v>Routes</x:v>
      </x:c>
      <x:c r="K255" s="20" t="n">
        <x:v>27.483443708609272</x:v>
      </x:c>
      <x:c r="L255" s="21" t="n">
        <x:v>0</x:v>
      </x:c>
      <x:c r="M255" s="21" t="n">
        <x:v>0</x:v>
      </x:c>
      <x:c r="N255" s="21" t="n">
        <x:v>0</x:v>
      </x:c>
      <x:c r="O255" s="21" t="n">
        <x:v>0</x:v>
      </x:c>
      <x:c r="P255" s="21" t="n">
        <x:v>0</x:v>
      </x:c>
      <x:c r="Q255" s="21" t="n">
        <x:v>0</x:v>
      </x:c>
      <x:c r="R255" s="21" t="n">
        <x:v>0</x:v>
      </x:c>
      <x:c r="S255" s="21" t="n">
        <x:v>0</x:v>
      </x:c>
      <x:c r="T255" s="21" t="n">
        <x:v>0</x:v>
      </x:c>
      <x:c r="U255" s="21" t="n">
        <x:v>0</x:v>
      </x:c>
      <x:c r="V255" s="21" t="n">
        <x:v>0</x:v>
      </x:c>
      <x:c r="W255" s="21" t="n">
        <x:v>5.496688741721854</x:v>
      </x:c>
      <x:c r="X255" s="21" t="n">
        <x:v>3.8476821192052983</x:v>
      </x:c>
      <x:c r="Y255" s="21" t="n">
        <x:v>41.335099337748346</x:v>
      </x:c>
      <x:c r="Z255" s="21" t="n">
        <x:v>0.3100132450331126</x:v>
      </x:c>
      <x:c r="AA255" s="21" t="n">
        <x:v>27.483443708609272</x:v>
      </x:c>
      <x:c r="AB255" s="21" t="n">
        <x:v>0.68</x:v>
      </x:c>
      <x:c r="AC255" s="21" t="n">
        <x:v>0</x:v>
      </x:c>
      <x:c r="AD255" s="21" t="n">
        <x:v>0</x:v>
      </x:c>
      <x:c r="AE255" s="21" t="n">
        <x:v>0</x:v>
      </x:c>
      <x:c r="AF255" s="21" t="n">
        <x:v>0</x:v>
      </x:c>
      <x:c r="AG255" s="21" t="n">
        <x:v>0</x:v>
      </x:c>
      <x:c r="AH255" s="21" t="n">
        <x:v>0</x:v>
      </x:c>
      <x:c r="AI255" s="21" t="n">
        <x:v>0</x:v>
      </x:c>
      <x:c r="AJ255" s="21" t="n">
        <x:v>0</x:v>
      </x:c>
      <x:c r="AK255" s="21" t="n">
        <x:v>0</x:v>
      </x:c>
      <x:c r="AL255" s="21" t="n">
        <x:v>0</x:v>
      </x:c>
      <x:c r="AM255" s="21" t="n">
        <x:v>1</x:v>
      </x:c>
      <x:c r="AN255" s="21" t="n">
        <x:v>1</x:v>
      </x:c>
      <x:c r="AO255" s="21" t="n">
        <x:v>1</x:v>
      </x:c>
      <x:c r="AP255" s="21" t="n">
        <x:v>1</x:v>
      </x:c>
      <x:c r="AQ255" s="21" t="n">
        <x:v>0.94</x:v>
      </x:c>
      <x:c r="AR255" s="21" t="n">
        <x:v>1</x:v>
      </x:c>
      <x:c r="AS255" s="21" t="n">
        <x:v>1</x:v>
      </x:c>
      <x:c r="AT255" s="21" t="n">
        <x:v>1</x:v>
      </x:c>
      <x:c r="AU255" s="21" t="n">
        <x:v>0</x:v>
      </x:c>
      <x:c r="AV255" s="22" t="n">
        <x:f>IF(C255="QB",N255*0.04+O255*4-P255*2+R255*0.1+S255*6,IF(OR(C255="RB",C255="WR",C255="TE"),U255*0.1+V255*6+R255*0.1+S255*6+X255*0.5+Y255*0.1+Z255*6,IF(C255="K",AC255*3+AD255*4+AE255*5+AF255,IF(C255="DST",AG255+AH255*2+AI255*6+AL255,0))))</x:f>
        <x:v>7.91743046357616</x:v>
      </x:c>
      <x:c r="AW255" s="22" t="n">
        <x:f>(AV255+AU255)*G255</x:f>
        <x:v>7.91743046357616</x:v>
      </x:c>
      <x:c r="AX255" s="22" t="n">
        <x:f>MAX(0,AW255*IF(C255="QB",0.68,IF(C255="RB",0.58,IF(C255="WR",0.52,IF(C255="TE",0.50,IF(C255="K",0.55,0.40))))))</x:f>
        <x:v>3.95871523178808</x:v>
      </x:c>
      <x:c r="AY255" s="22" t="n">
        <x:f>AW255*IF(C255="QB",1.32,IF(C255="RB",1.45,IF(C255="WR",1.55,IF(C255="TE",1.60,IF(C255="K",1.45,1.65)))))</x:f>
        <x:v>12.667888741721857</x:v>
      </x:c>
      <x:c r="AZ255" s="12" t="str">
        <x:v>High</x:v>
      </x:c>
      <x:c r="BA255" s="12" t="n">
        <x:v>3</x:v>
      </x:c>
      <x:c r="BB255" s="12" t="n">
        <x:f>COUNTIFS($C$2:$C$344,C255,$AW$2:$AW$344,"&gt;"&amp;AW255,$G$2:$G$344,"&gt;0")+COUNTIFS($C$2:C255,C255,$AW$2:AW255,AW255,$G$2:G255,"&gt;0")</x:f>
        <x:v>12</x:v>
      </x:c>
      <x:c r="BC255" s="12" t="n">
        <x:v>14</x:v>
      </x:c>
      <x:c r="BD255" s="12" t="str">
        <x:f>IF(BB255&lt;BC255,"↑",IF(BB255&gt;BC255,"↓","→"))</x:f>
        <x:v>↑</x:v>
      </x:c>
      <x:c r="BE255" s="23" t="str">
        <x:v>Fantasy Football Brief ROS baseline; official NFL schedule</x:v>
      </x:c>
      <x:c r="BF255" s="23" t="str">
        <x:v>Current role and availability baseline; all adjustment factors shown numerically</x:v>
      </x:c>
      <x:c r="BG255" s="23" t="str">
        <x:v>Material injury, depth-chart, or role change</x:v>
      </x:c>
      <x:c r="BH255" s="24" t="str">
        <x:v>2026-09-23 10:35 CT</x:v>
      </x:c>
    </x:row>
    <x:row r="256">
      <x:c r="A256" s="12" t="str">
        <x:v>Juwan Johnson</x:v>
      </x:c>
      <x:c r="B256" s="12" t="str">
        <x:v>NO</x:v>
      </x:c>
      <x:c r="C256" s="12" t="str">
        <x:v>TE</x:v>
      </x:c>
      <x:c r="D256" s="12" t="str">
        <x:v>LV</x:v>
      </x:c>
      <x:c r="E256" s="12" t="str">
        <x:v>Home</x:v>
      </x:c>
      <x:c r="F256" s="12" t="str">
        <x:v>2026-09-27</x:v>
      </x:c>
      <x:c r="G256" s="19" t="n">
        <x:v>1</x:v>
      </x:c>
      <x:c r="H256" s="20" t="str">
        <x:v>ACTIVE</x:v>
      </x:c>
      <x:c r="I256" s="20" t="n">
        <x:v>44</x:v>
      </x:c>
      <x:c r="J256" s="20" t="str">
        <x:v>Routes</x:v>
      </x:c>
      <x:c r="K256" s="20" t="n">
        <x:v>25.496688741721858</x:v>
      </x:c>
      <x:c r="L256" s="21" t="n">
        <x:v>0</x:v>
      </x:c>
      <x:c r="M256" s="21" t="n">
        <x:v>0</x:v>
      </x:c>
      <x:c r="N256" s="21" t="n">
        <x:v>0</x:v>
      </x:c>
      <x:c r="O256" s="21" t="n">
        <x:v>0</x:v>
      </x:c>
      <x:c r="P256" s="21" t="n">
        <x:v>0</x:v>
      </x:c>
      <x:c r="Q256" s="21" t="n">
        <x:v>0</x:v>
      </x:c>
      <x:c r="R256" s="21" t="n">
        <x:v>0</x:v>
      </x:c>
      <x:c r="S256" s="21" t="n">
        <x:v>0</x:v>
      </x:c>
      <x:c r="T256" s="21" t="n">
        <x:v>0</x:v>
      </x:c>
      <x:c r="U256" s="21" t="n">
        <x:v>0</x:v>
      </x:c>
      <x:c r="V256" s="21" t="n">
        <x:v>0</x:v>
      </x:c>
      <x:c r="W256" s="21" t="n">
        <x:v>5.099337748344372</x:v>
      </x:c>
      <x:c r="X256" s="21" t="n">
        <x:v>3.56953642384106</x:v>
      </x:c>
      <x:c r="Y256" s="21" t="n">
        <x:v>40.38675496688742</x:v>
      </x:c>
      <x:c r="Z256" s="21" t="n">
        <x:v>0.30290066225165563</x:v>
      </x:c>
      <x:c r="AA256" s="21" t="n">
        <x:v>25.496688741721858</x:v>
      </x:c>
      <x:c r="AB256" s="21" t="n">
        <x:v>0.68</x:v>
      </x:c>
      <x:c r="AC256" s="21" t="n">
        <x:v>0</x:v>
      </x:c>
      <x:c r="AD256" s="21" t="n">
        <x:v>0</x:v>
      </x:c>
      <x:c r="AE256" s="21" t="n">
        <x:v>0</x:v>
      </x:c>
      <x:c r="AF256" s="21" t="n">
        <x:v>0</x:v>
      </x:c>
      <x:c r="AG256" s="21" t="n">
        <x:v>0</x:v>
      </x:c>
      <x:c r="AH256" s="21" t="n">
        <x:v>0</x:v>
      </x:c>
      <x:c r="AI256" s="21" t="n">
        <x:v>0</x:v>
      </x:c>
      <x:c r="AJ256" s="21" t="n">
        <x:v>0</x:v>
      </x:c>
      <x:c r="AK256" s="21" t="n">
        <x:v>0</x:v>
      </x:c>
      <x:c r="AL256" s="21" t="n">
        <x:v>0</x:v>
      </x:c>
      <x:c r="AM256" s="21" t="n">
        <x:v>1</x:v>
      </x:c>
      <x:c r="AN256" s="21" t="n">
        <x:v>1</x:v>
      </x:c>
      <x:c r="AO256" s="21" t="n">
        <x:v>1</x:v>
      </x:c>
      <x:c r="AP256" s="21" t="n">
        <x:v>0.99</x:v>
      </x:c>
      <x:c r="AQ256" s="21" t="n">
        <x:v>1</x:v>
      </x:c>
      <x:c r="AR256" s="21" t="n">
        <x:v>1</x:v>
      </x:c>
      <x:c r="AS256" s="21" t="n">
        <x:v>1</x:v>
      </x:c>
      <x:c r="AT256" s="21" t="n">
        <x:v>1</x:v>
      </x:c>
      <x:c r="AU256" s="21" t="n">
        <x:v>0</x:v>
      </x:c>
      <x:c r="AV256" s="22" t="n">
        <x:f>IF(C256="QB",N256*0.04+O256*4-P256*2+R256*0.1+S256*6,IF(OR(C256="RB",C256="WR",C256="TE"),U256*0.1+V256*6+R256*0.1+S256*6+X256*0.5+Y256*0.1+Z256*6,IF(C256="K",AC256*3+AD256*4+AE256*5+AF256,IF(C256="DST",AG256+AH256*2+AI256*6+AL256,0))))</x:f>
        <x:v>7.6408476821192055</x:v>
      </x:c>
      <x:c r="AW256" s="22" t="n">
        <x:f>(AV256+AU256)*G256</x:f>
        <x:v>7.6408476821192055</x:v>
      </x:c>
      <x:c r="AX256" s="22" t="n">
        <x:f>MAX(0,AW256*IF(C256="QB",0.68,IF(C256="RB",0.58,IF(C256="WR",0.52,IF(C256="TE",0.50,IF(C256="K",0.55,0.40))))))</x:f>
        <x:v>3.8204238410596028</x:v>
      </x:c>
      <x:c r="AY256" s="22" t="n">
        <x:f>AW256*IF(C256="QB",1.32,IF(C256="RB",1.45,IF(C256="WR",1.55,IF(C256="TE",1.60,IF(C256="K",1.45,1.65)))))</x:f>
        <x:v>12.22535629139073</x:v>
      </x:c>
      <x:c r="AZ256" s="12" t="str">
        <x:v>High</x:v>
      </x:c>
      <x:c r="BA256" s="12" t="n">
        <x:v>3</x:v>
      </x:c>
      <x:c r="BB256" s="12" t="n">
        <x:f>COUNTIFS($C$2:$C$344,C256,$AW$2:$AW$344,"&gt;"&amp;AW256,$G$2:$G$344,"&gt;0")+COUNTIFS($C$2:C256,C256,$AW$2:AW256,AW256,$G$2:G256,"&gt;0")</x:f>
        <x:v>14</x:v>
      </x:c>
      <x:c r="BC256" s="12" t="n">
        <x:v>15</x:v>
      </x:c>
      <x:c r="BD256" s="12" t="str">
        <x:f>IF(BB256&lt;BC256,"↑",IF(BB256&gt;BC256,"↓","→"))</x:f>
        <x:v>↑</x:v>
      </x:c>
      <x:c r="BE256" s="23" t="str">
        <x:v>Fantasy Football Brief ROS baseline; official NFL schedule</x:v>
      </x:c>
      <x:c r="BF256" s="23" t="str">
        <x:v>Current role and availability baseline; all adjustment factors shown numerically</x:v>
      </x:c>
      <x:c r="BG256" s="23" t="str">
        <x:v>Material injury, depth-chart, or role change</x:v>
      </x:c>
      <x:c r="BH256" s="24" t="str">
        <x:v>2026-09-23 10:35 CT</x:v>
      </x:c>
    </x:row>
    <x:row r="257">
      <x:c r="A257" s="12" t="str">
        <x:v>Brenton Strange</x:v>
      </x:c>
      <x:c r="B257" s="12" t="str">
        <x:v>JAC</x:v>
      </x:c>
      <x:c r="C257" s="12" t="str">
        <x:v>TE</x:v>
      </x:c>
      <x:c r="D257" s="12" t="str">
        <x:v>NE</x:v>
      </x:c>
      <x:c r="E257" s="12" t="str">
        <x:v>Home</x:v>
      </x:c>
      <x:c r="F257" s="12" t="str">
        <x:v>2026-09-27</x:v>
      </x:c>
      <x:c r="G257" s="19" t="n">
        <x:v>1</x:v>
      </x:c>
      <x:c r="H257" s="20" t="str">
        <x:v>ACTIVE</x:v>
      </x:c>
      <x:c r="I257" s="20" t="n">
        <x:v>44</x:v>
      </x:c>
      <x:c r="J257" s="20" t="str">
        <x:v>Routes</x:v>
      </x:c>
      <x:c r="K257" s="20" t="n">
        <x:v>24.834437086092716</x:v>
      </x:c>
      <x:c r="L257" s="21" t="n">
        <x:v>0</x:v>
      </x:c>
      <x:c r="M257" s="21" t="n">
        <x:v>0</x:v>
      </x:c>
      <x:c r="N257" s="21" t="n">
        <x:v>0</x:v>
      </x:c>
      <x:c r="O257" s="21" t="n">
        <x:v>0</x:v>
      </x:c>
      <x:c r="P257" s="21" t="n">
        <x:v>0</x:v>
      </x:c>
      <x:c r="Q257" s="21" t="n">
        <x:v>0</x:v>
      </x:c>
      <x:c r="R257" s="21" t="n">
        <x:v>0</x:v>
      </x:c>
      <x:c r="S257" s="21" t="n">
        <x:v>0</x:v>
      </x:c>
      <x:c r="T257" s="21" t="n">
        <x:v>0</x:v>
      </x:c>
      <x:c r="U257" s="21" t="n">
        <x:v>0</x:v>
      </x:c>
      <x:c r="V257" s="21" t="n">
        <x:v>0</x:v>
      </x:c>
      <x:c r="W257" s="21" t="n">
        <x:v>4.966887417218543</x:v>
      </x:c>
      <x:c r="X257" s="21" t="n">
        <x:v>3.4768211920529803</x:v>
      </x:c>
      <x:c r="Y257" s="21" t="n">
        <x:v>39.33774834437086</x:v>
      </x:c>
      <x:c r="Z257" s="21" t="n">
        <x:v>0.2950331125827815</x:v>
      </x:c>
      <x:c r="AA257" s="21" t="n">
        <x:v>24.834437086092716</x:v>
      </x:c>
      <x:c r="AB257" s="21" t="n">
        <x:v>0.68</x:v>
      </x:c>
      <x:c r="AC257" s="21" t="n">
        <x:v>0</x:v>
      </x:c>
      <x:c r="AD257" s="21" t="n">
        <x:v>0</x:v>
      </x:c>
      <x:c r="AE257" s="21" t="n">
        <x:v>0</x:v>
      </x:c>
      <x:c r="AF257" s="21" t="n">
        <x:v>0</x:v>
      </x:c>
      <x:c r="AG257" s="21" t="n">
        <x:v>0</x:v>
      </x:c>
      <x:c r="AH257" s="21" t="n">
        <x:v>0</x:v>
      </x:c>
      <x:c r="AI257" s="21" t="n">
        <x:v>0</x:v>
      </x:c>
      <x:c r="AJ257" s="21" t="n">
        <x:v>0</x:v>
      </x:c>
      <x:c r="AK257" s="21" t="n">
        <x:v>0</x:v>
      </x:c>
      <x:c r="AL257" s="21" t="n">
        <x:v>0</x:v>
      </x:c>
      <x:c r="AM257" s="21" t="n">
        <x:v>1</x:v>
      </x:c>
      <x:c r="AN257" s="21" t="n">
        <x:v>1</x:v>
      </x:c>
      <x:c r="AO257" s="21" t="n">
        <x:v>1</x:v>
      </x:c>
      <x:c r="AP257" s="21" t="n">
        <x:v>1</x:v>
      </x:c>
      <x:c r="AQ257" s="21" t="n">
        <x:v>0.99</x:v>
      </x:c>
      <x:c r="AR257" s="21" t="n">
        <x:v>1</x:v>
      </x:c>
      <x:c r="AS257" s="21" t="n">
        <x:v>1</x:v>
      </x:c>
      <x:c r="AT257" s="21" t="n">
        <x:v>1</x:v>
      </x:c>
      <x:c r="AU257" s="21" t="n">
        <x:v>0</x:v>
      </x:c>
      <x:c r="AV257" s="22" t="n">
        <x:f>IF(C257="QB",N257*0.04+O257*4-P257*2+R257*0.1+S257*6,IF(OR(C257="RB",C257="WR",C257="TE"),U257*0.1+V257*6+R257*0.1+S257*6+X257*0.5+Y257*0.1+Z257*6,IF(C257="K",AC257*3+AD257*4+AE257*5+AF257,IF(C257="DST",AG257+AH257*2+AI257*6+AL257,0))))</x:f>
        <x:v>7.442384105960265</x:v>
      </x:c>
      <x:c r="AW257" s="22" t="n">
        <x:f>(AV257+AU257)*G257</x:f>
        <x:v>7.442384105960265</x:v>
      </x:c>
      <x:c r="AX257" s="22" t="n">
        <x:f>MAX(0,AW257*IF(C257="QB",0.68,IF(C257="RB",0.58,IF(C257="WR",0.52,IF(C257="TE",0.50,IF(C257="K",0.55,0.40))))))</x:f>
        <x:v>3.7211920529801326</x:v>
      </x:c>
      <x:c r="AY257" s="22" t="n">
        <x:f>AW257*IF(C257="QB",1.32,IF(C257="RB",1.45,IF(C257="WR",1.55,IF(C257="TE",1.60,IF(C257="K",1.45,1.65)))))</x:f>
        <x:v>11.907814569536425</x:v>
      </x:c>
      <x:c r="AZ257" s="12" t="str">
        <x:v>High</x:v>
      </x:c>
      <x:c r="BA257" s="12" t="n">
        <x:v>3</x:v>
      </x:c>
      <x:c r="BB257" s="12" t="n">
        <x:f>COUNTIFS($C$2:$C$344,C257,$AW$2:$AW$344,"&gt;"&amp;AW257,$G$2:$G$344,"&gt;0")+COUNTIFS($C$2:C257,C257,$AW$2:AW257,AW257,$G$2:G257,"&gt;0")</x:f>
        <x:v>16</x:v>
      </x:c>
      <x:c r="BC257" s="12" t="n">
        <x:v>16</x:v>
      </x:c>
      <x:c r="BD257" s="12" t="str">
        <x:f>IF(BB257&lt;BC257,"↑",IF(BB257&gt;BC257,"↓","→"))</x:f>
        <x:v>→</x:v>
      </x:c>
      <x:c r="BE257" s="23" t="str">
        <x:v>Fantasy Football Brief ROS baseline; official NFL schedule</x:v>
      </x:c>
      <x:c r="BF257" s="23" t="str">
        <x:v>Current role and availability baseline; all adjustment factors shown numerically</x:v>
      </x:c>
      <x:c r="BG257" s="23" t="str">
        <x:v>Material injury, depth-chart, or role change</x:v>
      </x:c>
      <x:c r="BH257" s="24" t="str">
        <x:v>2026-09-23 10:35 CT</x:v>
      </x:c>
    </x:row>
    <x:row r="258">
      <x:c r="A258" s="12" t="str">
        <x:v>Hunter Henry</x:v>
      </x:c>
      <x:c r="B258" s="12" t="str">
        <x:v>NE</x:v>
      </x:c>
      <x:c r="C258" s="12" t="str">
        <x:v>TE</x:v>
      </x:c>
      <x:c r="D258" s="12" t="str">
        <x:v>JAX</x:v>
      </x:c>
      <x:c r="E258" s="12" t="str">
        <x:v>Away</x:v>
      </x:c>
      <x:c r="F258" s="12" t="str">
        <x:v>2026-09-27</x:v>
      </x:c>
      <x:c r="G258" s="19" t="n">
        <x:v>1</x:v>
      </x:c>
      <x:c r="H258" s="20" t="str">
        <x:v>ACTIVE</x:v>
      </x:c>
      <x:c r="I258" s="20" t="n">
        <x:v>44</x:v>
      </x:c>
      <x:c r="J258" s="20" t="str">
        <x:v>Routes</x:v>
      </x:c>
      <x:c r="K258" s="20" t="n">
        <x:v>24.50331125827815</x:v>
      </x:c>
      <x:c r="L258" s="21" t="n">
        <x:v>0</x:v>
      </x:c>
      <x:c r="M258" s="21" t="n">
        <x:v>0</x:v>
      </x:c>
      <x:c r="N258" s="21" t="n">
        <x:v>0</x:v>
      </x:c>
      <x:c r="O258" s="21" t="n">
        <x:v>0</x:v>
      </x:c>
      <x:c r="P258" s="21" t="n">
        <x:v>0</x:v>
      </x:c>
      <x:c r="Q258" s="21" t="n">
        <x:v>0</x:v>
      </x:c>
      <x:c r="R258" s="21" t="n">
        <x:v>0</x:v>
      </x:c>
      <x:c r="S258" s="21" t="n">
        <x:v>0</x:v>
      </x:c>
      <x:c r="T258" s="21" t="n">
        <x:v>0</x:v>
      </x:c>
      <x:c r="U258" s="21" t="n">
        <x:v>0</x:v>
      </x:c>
      <x:c r="V258" s="21" t="n">
        <x:v>0</x:v>
      </x:c>
      <x:c r="W258" s="21" t="n">
        <x:v>4.90066225165563</x:v>
      </x:c>
      <x:c r="X258" s="21" t="n">
        <x:v>3.4304635761589406</x:v>
      </x:c>
      <x:c r="Y258" s="21" t="n">
        <x:v>39.18961589403975</x:v>
      </x:c>
      <x:c r="Z258" s="21" t="n">
        <x:v>0.29392211920529804</x:v>
      </x:c>
      <x:c r="AA258" s="21" t="n">
        <x:v>24.50331125827815</x:v>
      </x:c>
      <x:c r="AB258" s="21" t="n">
        <x:v>0.68</x:v>
      </x:c>
      <x:c r="AC258" s="21" t="n">
        <x:v>0</x:v>
      </x:c>
      <x:c r="AD258" s="21" t="n">
        <x:v>0</x:v>
      </x:c>
      <x:c r="AE258" s="21" t="n">
        <x:v>0</x:v>
      </x:c>
      <x:c r="AF258" s="21" t="n">
        <x:v>0</x:v>
      </x:c>
      <x:c r="AG258" s="21" t="n">
        <x:v>0</x:v>
      </x:c>
      <x:c r="AH258" s="21" t="n">
        <x:v>0</x:v>
      </x:c>
      <x:c r="AI258" s="21" t="n">
        <x:v>0</x:v>
      </x:c>
      <x:c r="AJ258" s="21" t="n">
        <x:v>0</x:v>
      </x:c>
      <x:c r="AK258" s="21" t="n">
        <x:v>0</x:v>
      </x:c>
      <x:c r="AL258" s="21" t="n">
        <x:v>0</x:v>
      </x:c>
      <x:c r="AM258" s="21" t="n">
        <x:v>1</x:v>
      </x:c>
      <x:c r="AN258" s="21" t="n">
        <x:v>1</x:v>
      </x:c>
      <x:c r="AO258" s="21" t="n">
        <x:v>1</x:v>
      </x:c>
      <x:c r="AP258" s="21" t="n">
        <x:v>0.98</x:v>
      </x:c>
      <x:c r="AQ258" s="21" t="n">
        <x:v>1.02</x:v>
      </x:c>
      <x:c r="AR258" s="21" t="n">
        <x:v>1</x:v>
      </x:c>
      <x:c r="AS258" s="21" t="n">
        <x:v>1</x:v>
      </x:c>
      <x:c r="AT258" s="21" t="n">
        <x:v>1</x:v>
      </x:c>
      <x:c r="AU258" s="21" t="n">
        <x:v>0</x:v>
      </x:c>
      <x:c r="AV258" s="22" t="n">
        <x:f>IF(C258="QB",N258*0.04+O258*4-P258*2+R258*0.1+S258*6,IF(OR(C258="RB",C258="WR",C258="TE"),U258*0.1+V258*6+R258*0.1+S258*6+X258*0.5+Y258*0.1+Z258*6,IF(C258="K",AC258*3+AD258*4+AE258*5+AF258,IF(C258="DST",AG258+AH258*2+AI258*6+AL258,0))))</x:f>
        <x:v>7.397726092715233</x:v>
      </x:c>
      <x:c r="AW258" s="22" t="n">
        <x:f>(AV258+AU258)*G258</x:f>
        <x:v>7.397726092715233</x:v>
      </x:c>
      <x:c r="AX258" s="22" t="n">
        <x:f>MAX(0,AW258*IF(C258="QB",0.68,IF(C258="RB",0.58,IF(C258="WR",0.52,IF(C258="TE",0.50,IF(C258="K",0.55,0.40))))))</x:f>
        <x:v>3.6988630463576166</x:v>
      </x:c>
      <x:c r="AY258" s="22" t="n">
        <x:f>AW258*IF(C258="QB",1.32,IF(C258="RB",1.45,IF(C258="WR",1.55,IF(C258="TE",1.60,IF(C258="K",1.45,1.65)))))</x:f>
        <x:v>11.836361748344373</x:v>
      </x:c>
      <x:c r="AZ258" s="12" t="str">
        <x:v>High</x:v>
      </x:c>
      <x:c r="BA258" s="12" t="n">
        <x:v>3</x:v>
      </x:c>
      <x:c r="BB258" s="12" t="n">
        <x:f>COUNTIFS($C$2:$C$344,C258,$AW$2:$AW$344,"&gt;"&amp;AW258,$G$2:$G$344,"&gt;0")+COUNTIFS($C$2:C258,C258,$AW$2:AW258,AW258,$G$2:G258,"&gt;0")</x:f>
        <x:v>17</x:v>
      </x:c>
      <x:c r="BC258" s="12" t="n">
        <x:v>17</x:v>
      </x:c>
      <x:c r="BD258" s="12" t="str">
        <x:f>IF(BB258&lt;BC258,"↑",IF(BB258&gt;BC258,"↓","→"))</x:f>
        <x:v>→</x:v>
      </x:c>
      <x:c r="BE258" s="23" t="str">
        <x:v>Fantasy Football Brief ROS baseline; official NFL schedule</x:v>
      </x:c>
      <x:c r="BF258" s="23" t="str">
        <x:v>Current role and availability baseline; all adjustment factors shown numerically</x:v>
      </x:c>
      <x:c r="BG258" s="23" t="str">
        <x:v>Material injury, depth-chart, or role change</x:v>
      </x:c>
      <x:c r="BH258" s="24" t="str">
        <x:v>2026-09-23 10:35 CT</x:v>
      </x:c>
    </x:row>
    <x:row r="259">
      <x:c r="A259" s="12" t="str">
        <x:v>Dalton Schultz</x:v>
      </x:c>
      <x:c r="B259" s="12" t="str">
        <x:v>HOU</x:v>
      </x:c>
      <x:c r="C259" s="12" t="str">
        <x:v>TE</x:v>
      </x:c>
      <x:c r="D259" s="12" t="str">
        <x:v>IND</x:v>
      </x:c>
      <x:c r="E259" s="12" t="str">
        <x:v>Away</x:v>
      </x:c>
      <x:c r="F259" s="12" t="str">
        <x:v>2026-09-27</x:v>
      </x:c>
      <x:c r="G259" s="19" t="n">
        <x:v>1</x:v>
      </x:c>
      <x:c r="H259" s="20" t="str">
        <x:v>ACTIVE</x:v>
      </x:c>
      <x:c r="I259" s="20" t="n">
        <x:v>48.400000000000006</x:v>
      </x:c>
      <x:c r="J259" s="20" t="str">
        <x:v>Routes</x:v>
      </x:c>
      <x:c r="K259" s="20" t="n">
        <x:v>23.3112582781457</x:v>
      </x:c>
      <x:c r="L259" s="21" t="n">
        <x:v>0</x:v>
      </x:c>
      <x:c r="M259" s="21" t="n">
        <x:v>0</x:v>
      </x:c>
      <x:c r="N259" s="21" t="n">
        <x:v>0</x:v>
      </x:c>
      <x:c r="O259" s="21" t="n">
        <x:v>0</x:v>
      </x:c>
      <x:c r="P259" s="21" t="n">
        <x:v>0</x:v>
      </x:c>
      <x:c r="Q259" s="21" t="n">
        <x:v>0</x:v>
      </x:c>
      <x:c r="R259" s="21" t="n">
        <x:v>0</x:v>
      </x:c>
      <x:c r="S259" s="21" t="n">
        <x:v>0</x:v>
      </x:c>
      <x:c r="T259" s="21" t="n">
        <x:v>0</x:v>
      </x:c>
      <x:c r="U259" s="21" t="n">
        <x:v>0</x:v>
      </x:c>
      <x:c r="V259" s="21" t="n">
        <x:v>0</x:v>
      </x:c>
      <x:c r="W259" s="21" t="n">
        <x:v>4.66225165562914</x:v>
      </x:c>
      <x:c r="X259" s="21" t="n">
        <x:v>3.263576158940398</x:v>
      </x:c>
      <x:c r="Y259" s="21" t="n">
        <x:v>38.032784105960275</x:v>
      </x:c>
      <x:c r="Z259" s="21" t="n">
        <x:v>0.28524588079470203</x:v>
      </x:c>
      <x:c r="AA259" s="21" t="n">
        <x:v>23.3112582781457</x:v>
      </x:c>
      <x:c r="AB259" s="21" t="n">
        <x:v>0.68</x:v>
      </x:c>
      <x:c r="AC259" s="21" t="n">
        <x:v>0</x:v>
      </x:c>
      <x:c r="AD259" s="21" t="n">
        <x:v>0</x:v>
      </x:c>
      <x:c r="AE259" s="21" t="n">
        <x:v>0</x:v>
      </x:c>
      <x:c r="AF259" s="21" t="n">
        <x:v>0</x:v>
      </x:c>
      <x:c r="AG259" s="21" t="n">
        <x:v>0</x:v>
      </x:c>
      <x:c r="AH259" s="21" t="n">
        <x:v>0</x:v>
      </x:c>
      <x:c r="AI259" s="21" t="n">
        <x:v>0</x:v>
      </x:c>
      <x:c r="AJ259" s="21" t="n">
        <x:v>0</x:v>
      </x:c>
      <x:c r="AK259" s="21" t="n">
        <x:v>0</x:v>
      </x:c>
      <x:c r="AL259" s="21" t="n">
        <x:v>0</x:v>
      </x:c>
      <x:c r="AM259" s="21" t="n">
        <x:v>1</x:v>
      </x:c>
      <x:c r="AN259" s="21" t="n">
        <x:v>1</x:v>
      </x:c>
      <x:c r="AO259" s="21" t="n">
        <x:v>1.1</x:v>
      </x:c>
      <x:c r="AP259" s="21" t="n">
        <x:v>0.99</x:v>
      </x:c>
      <x:c r="AQ259" s="21" t="n">
        <x:v>1.03</x:v>
      </x:c>
      <x:c r="AR259" s="21" t="n">
        <x:v>1</x:v>
      </x:c>
      <x:c r="AS259" s="21" t="n">
        <x:v>1</x:v>
      </x:c>
      <x:c r="AT259" s="21" t="n">
        <x:v>1</x:v>
      </x:c>
      <x:c r="AU259" s="21" t="n">
        <x:v>0</x:v>
      </x:c>
      <x:c r="AV259" s="22" t="n">
        <x:f>IF(C259="QB",N259*0.04+O259*4-P259*2+R259*0.1+S259*6,IF(OR(C259="RB",C259="WR",C259="TE"),U259*0.1+V259*6+R259*0.1+S259*6+X259*0.5+Y259*0.1+Z259*6,IF(C259="K",AC259*3+AD259*4+AE259*5+AF259,IF(C259="DST",AG259+AH259*2+AI259*6+AL259,0))))</x:f>
        <x:v>7.146541774834439</x:v>
      </x:c>
      <x:c r="AW259" s="22" t="n">
        <x:f>(AV259+AU259)*G259</x:f>
        <x:v>7.146541774834439</x:v>
      </x:c>
      <x:c r="AX259" s="22" t="n">
        <x:f>MAX(0,AW259*IF(C259="QB",0.68,IF(C259="RB",0.58,IF(C259="WR",0.52,IF(C259="TE",0.50,IF(C259="K",0.55,0.40))))))</x:f>
        <x:v>3.5732708874172197</x:v>
      </x:c>
      <x:c r="AY259" s="22" t="n">
        <x:f>AW259*IF(C259="QB",1.32,IF(C259="RB",1.45,IF(C259="WR",1.55,IF(C259="TE",1.60,IF(C259="K",1.45,1.65)))))</x:f>
        <x:v>11.434466839735103</x:v>
      </x:c>
      <x:c r="AZ259" s="12" t="str">
        <x:v>High</x:v>
      </x:c>
      <x:c r="BA259" s="12" t="n">
        <x:v>3</x:v>
      </x:c>
      <x:c r="BB259" s="12" t="n">
        <x:f>COUNTIFS($C$2:$C$344,C259,$AW$2:$AW$344,"&gt;"&amp;AW259,$G$2:$G$344,"&gt;0")+COUNTIFS($C$2:C259,C259,$AW$2:AW259,AW259,$G$2:G259,"&gt;0")</x:f>
        <x:v>18</x:v>
      </x:c>
      <x:c r="BC259" s="12" t="n">
        <x:v>18</x:v>
      </x:c>
      <x:c r="BD259" s="12" t="str">
        <x:f>IF(BB259&lt;BC259,"↑",IF(BB259&gt;BC259,"↓","→"))</x:f>
        <x:v>→</x:v>
      </x:c>
      <x:c r="BE259" s="23" t="str">
        <x:v>Fantasy Football Brief ROS baseline; official NFL schedule</x:v>
      </x:c>
      <x:c r="BF259" s="23" t="str">
        <x:v>Conditional target redistribution while Collins remains at high risk of missing Week 3.</x:v>
      </x:c>
      <x:c r="BG259" s="23" t="str">
        <x:v>Collins returns to full practice</x:v>
      </x:c>
      <x:c r="BH259" s="24" t="str">
        <x:v>2026-09-23 10:35 CT</x:v>
      </x:c>
    </x:row>
    <x:row r="260">
      <x:c r="A260" s="12" t="str">
        <x:v>AJ Barner</x:v>
      </x:c>
      <x:c r="B260" s="12" t="str">
        <x:v>SEA</x:v>
      </x:c>
      <x:c r="C260" s="12" t="str">
        <x:v>TE</x:v>
      </x:c>
      <x:c r="D260" s="12" t="str">
        <x:v>WAS</x:v>
      </x:c>
      <x:c r="E260" s="12" t="str">
        <x:v>Away</x:v>
      </x:c>
      <x:c r="F260" s="12" t="str">
        <x:v>2026-09-27</x:v>
      </x:c>
      <x:c r="G260" s="19" t="n">
        <x:v>1</x:v>
      </x:c>
      <x:c r="H260" s="20" t="str">
        <x:v>ACTIVE</x:v>
      </x:c>
      <x:c r="I260" s="20" t="n">
        <x:v>44</x:v>
      </x:c>
      <x:c r="J260" s="20" t="str">
        <x:v>Routes</x:v>
      </x:c>
      <x:c r="K260" s="20" t="n">
        <x:v>21.192052980132452</x:v>
      </x:c>
      <x:c r="L260" s="21" t="n">
        <x:v>0</x:v>
      </x:c>
      <x:c r="M260" s="21" t="n">
        <x:v>0</x:v>
      </x:c>
      <x:c r="N260" s="21" t="n">
        <x:v>0</x:v>
      </x:c>
      <x:c r="O260" s="21" t="n">
        <x:v>0</x:v>
      </x:c>
      <x:c r="P260" s="21" t="n">
        <x:v>0</x:v>
      </x:c>
      <x:c r="Q260" s="21" t="n">
        <x:v>0</x:v>
      </x:c>
      <x:c r="R260" s="21" t="n">
        <x:v>0</x:v>
      </x:c>
      <x:c r="S260" s="21" t="n">
        <x:v>0</x:v>
      </x:c>
      <x:c r="T260" s="21" t="n">
        <x:v>0</x:v>
      </x:c>
      <x:c r="U260" s="21" t="n">
        <x:v>0</x:v>
      </x:c>
      <x:c r="V260" s="21" t="n">
        <x:v>0</x:v>
      </x:c>
      <x:c r="W260" s="21" t="n">
        <x:v>4.23841059602649</x:v>
      </x:c>
      <x:c r="X260" s="21" t="n">
        <x:v>2.9668874172185435</x:v>
      </x:c>
      <x:c r="Y260" s="21" t="n">
        <x:v>34.924503311258285</x:v>
      </x:c>
      <x:c r="Z260" s="21" t="n">
        <x:v>0.2619337748344371</x:v>
      </x:c>
      <x:c r="AA260" s="21" t="n">
        <x:v>21.192052980132452</x:v>
      </x:c>
      <x:c r="AB260" s="21" t="n">
        <x:v>0.68</x:v>
      </x:c>
      <x:c r="AC260" s="21" t="n">
        <x:v>0</x:v>
      </x:c>
      <x:c r="AD260" s="21" t="n">
        <x:v>0</x:v>
      </x:c>
      <x:c r="AE260" s="21" t="n">
        <x:v>0</x:v>
      </x:c>
      <x:c r="AF260" s="21" t="n">
        <x:v>0</x:v>
      </x:c>
      <x:c r="AG260" s="21" t="n">
        <x:v>0</x:v>
      </x:c>
      <x:c r="AH260" s="21" t="n">
        <x:v>0</x:v>
      </x:c>
      <x:c r="AI260" s="21" t="n">
        <x:v>0</x:v>
      </x:c>
      <x:c r="AJ260" s="21" t="n">
        <x:v>0</x:v>
      </x:c>
      <x:c r="AK260" s="21" t="n">
        <x:v>0</x:v>
      </x:c>
      <x:c r="AL260" s="21" t="n">
        <x:v>0</x:v>
      </x:c>
      <x:c r="AM260" s="21" t="n">
        <x:v>1</x:v>
      </x:c>
      <x:c r="AN260" s="21" t="n">
        <x:v>1</x:v>
      </x:c>
      <x:c r="AO260" s="21" t="n">
        <x:v>1</x:v>
      </x:c>
      <x:c r="AP260" s="21" t="n">
        <x:v>1</x:v>
      </x:c>
      <x:c r="AQ260" s="21" t="n">
        <x:v>1.03</x:v>
      </x:c>
      <x:c r="AR260" s="21" t="n">
        <x:v>1</x:v>
      </x:c>
      <x:c r="AS260" s="21" t="n">
        <x:v>1</x:v>
      </x:c>
      <x:c r="AT260" s="21" t="n">
        <x:v>1</x:v>
      </x:c>
      <x:c r="AU260" s="21" t="n">
        <x:v>0</x:v>
      </x:c>
      <x:c r="AV260" s="22" t="n">
        <x:f>IF(C260="QB",N260*0.04+O260*4-P260*2+R260*0.1+S260*6,IF(OR(C260="RB",C260="WR",C260="TE"),U260*0.1+V260*6+R260*0.1+S260*6+X260*0.5+Y260*0.1+Z260*6,IF(C260="K",AC260*3+AD260*4+AE260*5+AF260,IF(C260="DST",AG260+AH260*2+AI260*6+AL260,0))))</x:f>
        <x:v>6.547496688741724</x:v>
      </x:c>
      <x:c r="AW260" s="22" t="n">
        <x:f>(AV260+AU260)*G260</x:f>
        <x:v>6.547496688741724</x:v>
      </x:c>
      <x:c r="AX260" s="22" t="n">
        <x:f>MAX(0,AW260*IF(C260="QB",0.68,IF(C260="RB",0.58,IF(C260="WR",0.52,IF(C260="TE",0.50,IF(C260="K",0.55,0.40))))))</x:f>
        <x:v>3.273748344370862</x:v>
      </x:c>
      <x:c r="AY260" s="22" t="n">
        <x:f>AW260*IF(C260="QB",1.32,IF(C260="RB",1.45,IF(C260="WR",1.55,IF(C260="TE",1.60,IF(C260="K",1.45,1.65)))))</x:f>
        <x:v>10.475994701986759</x:v>
      </x:c>
      <x:c r="AZ260" s="12" t="str">
        <x:v>High</x:v>
      </x:c>
      <x:c r="BA260" s="12" t="n">
        <x:v>4</x:v>
      </x:c>
      <x:c r="BB260" s="12" t="n">
        <x:f>COUNTIFS($C$2:$C$344,C260,$AW$2:$AW$344,"&gt;"&amp;AW260,$G$2:$G$344,"&gt;0")+COUNTIFS($C$2:C260,C260,$AW$2:AW260,AW260,$G$2:G260,"&gt;0")</x:f>
        <x:v>19</x:v>
      </x:c>
      <x:c r="BC260" s="12" t="n">
        <x:v>19</x:v>
      </x:c>
      <x:c r="BD260" s="12" t="str">
        <x:f>IF(BB260&lt;BC260,"↑",IF(BB260&gt;BC260,"↓","→"))</x:f>
        <x:v>→</x:v>
      </x:c>
      <x:c r="BE260" s="23" t="str">
        <x:v>Fantasy Football Brief ROS baseline; official NFL schedule</x:v>
      </x:c>
      <x:c r="BF260" s="23" t="str">
        <x:v>Current role and availability baseline; all adjustment factors shown numerically</x:v>
      </x:c>
      <x:c r="BG260" s="23" t="str">
        <x:v>Material injury, depth-chart, or role change</x:v>
      </x:c>
      <x:c r="BH260" s="24" t="str">
        <x:v>2026-09-23 10:35 CT</x:v>
      </x:c>
    </x:row>
    <x:row r="261">
      <x:c r="A261" s="12" t="str">
        <x:v>Kyle Pitts Sr.</x:v>
      </x:c>
      <x:c r="B261" s="12" t="str">
        <x:v>ATL</x:v>
      </x:c>
      <x:c r="C261" s="12" t="str">
        <x:v>TE</x:v>
      </x:c>
      <x:c r="D261" s="12" t="str">
        <x:v>GB</x:v>
      </x:c>
      <x:c r="E261" s="12" t="str">
        <x:v>Away</x:v>
      </x:c>
      <x:c r="F261" s="12" t="str">
        <x:v>2026-09-24</x:v>
      </x:c>
      <x:c r="G261" s="19" t="n">
        <x:v>1</x:v>
      </x:c>
      <x:c r="H261" s="20" t="str">
        <x:v>ACTIVE</x:v>
      </x:c>
      <x:c r="I261" s="20" t="n">
        <x:v>44</x:v>
      </x:c>
      <x:c r="J261" s="20" t="str">
        <x:v>Routes</x:v>
      </x:c>
      <x:c r="K261" s="20" t="n">
        <x:v>21.192052980132452</x:v>
      </x:c>
      <x:c r="L261" s="21" t="n">
        <x:v>0</x:v>
      </x:c>
      <x:c r="M261" s="21" t="n">
        <x:v>0</x:v>
      </x:c>
      <x:c r="N261" s="21" t="n">
        <x:v>0</x:v>
      </x:c>
      <x:c r="O261" s="21" t="n">
        <x:v>0</x:v>
      </x:c>
      <x:c r="P261" s="21" t="n">
        <x:v>0</x:v>
      </x:c>
      <x:c r="Q261" s="21" t="n">
        <x:v>0</x:v>
      </x:c>
      <x:c r="R261" s="21" t="n">
        <x:v>0</x:v>
      </x:c>
      <x:c r="S261" s="21" t="n">
        <x:v>0</x:v>
      </x:c>
      <x:c r="T261" s="21" t="n">
        <x:v>0</x:v>
      </x:c>
      <x:c r="U261" s="21" t="n">
        <x:v>0</x:v>
      </x:c>
      <x:c r="V261" s="21" t="n">
        <x:v>0</x:v>
      </x:c>
      <x:c r="W261" s="21" t="n">
        <x:v>4.23841059602649</x:v>
      </x:c>
      <x:c r="X261" s="21" t="n">
        <x:v>2.9668874172185435</x:v>
      </x:c>
      <x:c r="Y261" s="21" t="n">
        <x:v>31.57446357615894</x:v>
      </x:c>
      <x:c r="Z261" s="21" t="n">
        <x:v>0.23680847682119202</x:v>
      </x:c>
      <x:c r="AA261" s="21" t="n">
        <x:v>21.192052980132452</x:v>
      </x:c>
      <x:c r="AB261" s="21" t="n">
        <x:v>0.68</x:v>
      </x:c>
      <x:c r="AC261" s="21" t="n">
        <x:v>0</x:v>
      </x:c>
      <x:c r="AD261" s="21" t="n">
        <x:v>0</x:v>
      </x:c>
      <x:c r="AE261" s="21" t="n">
        <x:v>0</x:v>
      </x:c>
      <x:c r="AF261" s="21" t="n">
        <x:v>0</x:v>
      </x:c>
      <x:c r="AG261" s="21" t="n">
        <x:v>0</x:v>
      </x:c>
      <x:c r="AH261" s="21" t="n">
        <x:v>0</x:v>
      </x:c>
      <x:c r="AI261" s="21" t="n">
        <x:v>0</x:v>
      </x:c>
      <x:c r="AJ261" s="21" t="n">
        <x:v>0</x:v>
      </x:c>
      <x:c r="AK261" s="21" t="n">
        <x:v>0</x:v>
      </x:c>
      <x:c r="AL261" s="21" t="n">
        <x:v>0</x:v>
      </x:c>
      <x:c r="AM261" s="21" t="n">
        <x:v>1</x:v>
      </x:c>
      <x:c r="AN261" s="21" t="n">
        <x:v>1</x:v>
      </x:c>
      <x:c r="AO261" s="21" t="n">
        <x:v>1</x:v>
      </x:c>
      <x:c r="AP261" s="21" t="n">
        <x:v>0.97</x:v>
      </x:c>
      <x:c r="AQ261" s="21" t="n">
        <x:v>0.96</x:v>
      </x:c>
      <x:c r="AR261" s="21" t="n">
        <x:v>1</x:v>
      </x:c>
      <x:c r="AS261" s="21" t="n">
        <x:v>1</x:v>
      </x:c>
      <x:c r="AT261" s="21" t="n">
        <x:v>1</x:v>
      </x:c>
      <x:c r="AU261" s="21" t="n">
        <x:v>0</x:v>
      </x:c>
      <x:c r="AV261" s="22" t="n">
        <x:f>IF(C261="QB",N261*0.04+O261*4-P261*2+R261*0.1+S261*6,IF(OR(C261="RB",C261="WR",C261="TE"),U261*0.1+V261*6+R261*0.1+S261*6+X261*0.5+Y261*0.1+Z261*6,IF(C261="K",AC261*3+AD261*4+AE261*5+AF261,IF(C261="DST",AG261+AH261*2+AI261*6+AL261,0))))</x:f>
        <x:v>6.061740927152319</x:v>
      </x:c>
      <x:c r="AW261" s="22" t="n">
        <x:f>(AV261+AU261)*G261</x:f>
        <x:v>6.061740927152319</x:v>
      </x:c>
      <x:c r="AX261" s="22" t="n">
        <x:f>MAX(0,AW261*IF(C261="QB",0.68,IF(C261="RB",0.58,IF(C261="WR",0.52,IF(C261="TE",0.50,IF(C261="K",0.55,0.40))))))</x:f>
        <x:v>3.0308704635761594</x:v>
      </x:c>
      <x:c r="AY261" s="22" t="n">
        <x:f>AW261*IF(C261="QB",1.32,IF(C261="RB",1.45,IF(C261="WR",1.55,IF(C261="TE",1.60,IF(C261="K",1.45,1.65)))))</x:f>
        <x:v>9.69878548344371</x:v>
      </x:c>
      <x:c r="AZ261" s="12" t="str">
        <x:v>High</x:v>
      </x:c>
      <x:c r="BA261" s="12" t="n">
        <x:v>4</x:v>
      </x:c>
      <x:c r="BB261" s="12" t="n">
        <x:f>COUNTIFS($C$2:$C$344,C261,$AW$2:$AW$344,"&gt;"&amp;AW261,$G$2:$G$344,"&gt;0")+COUNTIFS($C$2:C261,C261,$AW$2:AW261,AW261,$G$2:G261,"&gt;0")</x:f>
        <x:v>20</x:v>
      </x:c>
      <x:c r="BC261" s="12" t="n">
        <x:v>20</x:v>
      </x:c>
      <x:c r="BD261" s="12" t="str">
        <x:f>IF(BB261&lt;BC261,"↑",IF(BB261&gt;BC261,"↓","→"))</x:f>
        <x:v>→</x:v>
      </x:c>
      <x:c r="BE261" s="23" t="str">
        <x:v>Fantasy Football Brief ROS baseline; official NFL schedule</x:v>
      </x:c>
      <x:c r="BF261" s="23" t="str">
        <x:v>Current role and availability baseline; all adjustment factors shown numerically</x:v>
      </x:c>
      <x:c r="BG261" s="23" t="str">
        <x:v>Material injury, depth-chart, or role change</x:v>
      </x:c>
      <x:c r="BH261" s="24" t="str">
        <x:v>2026-09-23 10:35 CT</x:v>
      </x:c>
    </x:row>
    <x:row r="262">
      <x:c r="A262" s="12" t="str">
        <x:v>Cade Otton</x:v>
      </x:c>
      <x:c r="B262" s="12" t="str">
        <x:v>TB</x:v>
      </x:c>
      <x:c r="C262" s="12" t="str">
        <x:v>TE</x:v>
      </x:c>
      <x:c r="D262" s="12" t="str">
        <x:v>MIN</x:v>
      </x:c>
      <x:c r="E262" s="12" t="str">
        <x:v>Home</x:v>
      </x:c>
      <x:c r="F262" s="12" t="str">
        <x:v>2026-09-27</x:v>
      </x:c>
      <x:c r="G262" s="19" t="n">
        <x:v>1</x:v>
      </x:c>
      <x:c r="H262" s="20" t="str">
        <x:v>ACTIVE</x:v>
      </x:c>
      <x:c r="I262" s="20" t="n">
        <x:v>44</x:v>
      </x:c>
      <x:c r="J262" s="20" t="str">
        <x:v>Routes</x:v>
      </x:c>
      <x:c r="K262" s="20" t="n">
        <x:v>19.867549668874172</x:v>
      </x:c>
      <x:c r="L262" s="21" t="n">
        <x:v>0</x:v>
      </x:c>
      <x:c r="M262" s="21" t="n">
        <x:v>0</x:v>
      </x:c>
      <x:c r="N262" s="21" t="n">
        <x:v>0</x:v>
      </x:c>
      <x:c r="O262" s="21" t="n">
        <x:v>0</x:v>
      </x:c>
      <x:c r="P262" s="21" t="n">
        <x:v>0</x:v>
      </x:c>
      <x:c r="Q262" s="21" t="n">
        <x:v>0</x:v>
      </x:c>
      <x:c r="R262" s="21" t="n">
        <x:v>0</x:v>
      </x:c>
      <x:c r="S262" s="21" t="n">
        <x:v>0</x:v>
      </x:c>
      <x:c r="T262" s="21" t="n">
        <x:v>0</x:v>
      </x:c>
      <x:c r="U262" s="21" t="n">
        <x:v>0</x:v>
      </x:c>
      <x:c r="V262" s="21" t="n">
        <x:v>0</x:v>
      </x:c>
      <x:c r="W262" s="21" t="n">
        <x:v>3.9735099337748347</x:v>
      </x:c>
      <x:c r="X262" s="21" t="n">
        <x:v>2.781456953642384</x:v>
      </x:c>
      <x:c r="Y262" s="21" t="n">
        <x:v>31.46384105960265</x:v>
      </x:c>
      <x:c r="Z262" s="21" t="n">
        <x:v>0.23597880794701986</x:v>
      </x:c>
      <x:c r="AA262" s="21" t="n">
        <x:v>19.867549668874172</x:v>
      </x:c>
      <x:c r="AB262" s="21" t="n">
        <x:v>0.68</x:v>
      </x:c>
      <x:c r="AC262" s="21" t="n">
        <x:v>0</x:v>
      </x:c>
      <x:c r="AD262" s="21" t="n">
        <x:v>0</x:v>
      </x:c>
      <x:c r="AE262" s="21" t="n">
        <x:v>0</x:v>
      </x:c>
      <x:c r="AF262" s="21" t="n">
        <x:v>0</x:v>
      </x:c>
      <x:c r="AG262" s="21" t="n">
        <x:v>0</x:v>
      </x:c>
      <x:c r="AH262" s="21" t="n">
        <x:v>0</x:v>
      </x:c>
      <x:c r="AI262" s="21" t="n">
        <x:v>0</x:v>
      </x:c>
      <x:c r="AJ262" s="21" t="n">
        <x:v>0</x:v>
      </x:c>
      <x:c r="AK262" s="21" t="n">
        <x:v>0</x:v>
      </x:c>
      <x:c r="AL262" s="21" t="n">
        <x:v>0</x:v>
      </x:c>
      <x:c r="AM262" s="21" t="n">
        <x:v>1</x:v>
      </x:c>
      <x:c r="AN262" s="21" t="n">
        <x:v>1</x:v>
      </x:c>
      <x:c r="AO262" s="21" t="n">
        <x:v>1</x:v>
      </x:c>
      <x:c r="AP262" s="21" t="n">
        <x:v>1.01</x:v>
      </x:c>
      <x:c r="AQ262" s="21" t="n">
        <x:v>0.98</x:v>
      </x:c>
      <x:c r="AR262" s="21" t="n">
        <x:v>1</x:v>
      </x:c>
      <x:c r="AS262" s="21" t="n">
        <x:v>1</x:v>
      </x:c>
      <x:c r="AT262" s="21" t="n">
        <x:v>1</x:v>
      </x:c>
      <x:c r="AU262" s="21" t="n">
        <x:v>0</x:v>
      </x:c>
      <x:c r="AV262" s="22" t="n">
        <x:f>IF(C262="QB",N262*0.04+O262*4-P262*2+R262*0.1+S262*6,IF(OR(C262="RB",C262="WR",C262="TE"),U262*0.1+V262*6+R262*0.1+S262*6+X262*0.5+Y262*0.1+Z262*6,IF(C262="K",AC262*3+AD262*4+AE262*5+AF262,IF(C262="DST",AG262+AH262*2+AI262*6+AL262,0))))</x:f>
        <x:v>5.952985430463577</x:v>
      </x:c>
      <x:c r="AW262" s="22" t="n">
        <x:f>(AV262+AU262)*G262</x:f>
        <x:v>5.952985430463577</x:v>
      </x:c>
      <x:c r="AX262" s="22" t="n">
        <x:f>MAX(0,AW262*IF(C262="QB",0.68,IF(C262="RB",0.58,IF(C262="WR",0.52,IF(C262="TE",0.50,IF(C262="K",0.55,0.40))))))</x:f>
        <x:v>2.9764927152317884</x:v>
      </x:c>
      <x:c r="AY262" s="22" t="n">
        <x:f>AW262*IF(C262="QB",1.32,IF(C262="RB",1.45,IF(C262="WR",1.55,IF(C262="TE",1.60,IF(C262="K",1.45,1.65)))))</x:f>
        <x:v>9.524776688741722</x:v>
      </x:c>
      <x:c r="AZ262" s="12" t="str">
        <x:v>High</x:v>
      </x:c>
      <x:c r="BA262" s="12" t="n">
        <x:v>4</x:v>
      </x:c>
      <x:c r="BB262" s="12" t="n">
        <x:f>COUNTIFS($C$2:$C$344,C262,$AW$2:$AW$344,"&gt;"&amp;AW262,$G$2:$G$344,"&gt;0")+COUNTIFS($C$2:C262,C262,$AW$2:AW262,AW262,$G$2:G262,"&gt;0")</x:f>
        <x:v>21</x:v>
      </x:c>
      <x:c r="BC262" s="12" t="n">
        <x:v>21</x:v>
      </x:c>
      <x:c r="BD262" s="12" t="str">
        <x:f>IF(BB262&lt;BC262,"↑",IF(BB262&gt;BC262,"↓","→"))</x:f>
        <x:v>→</x:v>
      </x:c>
      <x:c r="BE262" s="23" t="str">
        <x:v>Fantasy Football Brief ROS baseline; official NFL schedule</x:v>
      </x:c>
      <x:c r="BF262" s="23" t="str">
        <x:v>Current role and availability baseline; all adjustment factors shown numerically</x:v>
      </x:c>
      <x:c r="BG262" s="23" t="str">
        <x:v>Material injury, depth-chart, or role change</x:v>
      </x:c>
      <x:c r="BH262" s="24" t="str">
        <x:v>2026-09-23 10:35 CT</x:v>
      </x:c>
    </x:row>
    <x:row r="263">
      <x:c r="A263" s="12" t="str">
        <x:v>T.J. Hockenson</x:v>
      </x:c>
      <x:c r="B263" s="12" t="str">
        <x:v>MIN</x:v>
      </x:c>
      <x:c r="C263" s="12" t="str">
        <x:v>TE</x:v>
      </x:c>
      <x:c r="D263" s="12" t="str">
        <x:v>TB</x:v>
      </x:c>
      <x:c r="E263" s="12" t="str">
        <x:v>Away</x:v>
      </x:c>
      <x:c r="F263" s="12" t="str">
        <x:v>2026-09-27</x:v>
      </x:c>
      <x:c r="G263" s="19" t="n">
        <x:v>1</x:v>
      </x:c>
      <x:c r="H263" s="20" t="str">
        <x:v>ACTIVE</x:v>
      </x:c>
      <x:c r="I263" s="20" t="n">
        <x:v>44</x:v>
      </x:c>
      <x:c r="J263" s="20" t="str">
        <x:v>Routes</x:v>
      </x:c>
      <x:c r="K263" s="20" t="n">
        <x:v>19.205298013245034</x:v>
      </x:c>
      <x:c r="L263" s="21" t="n">
        <x:v>0</x:v>
      </x:c>
      <x:c r="M263" s="21" t="n">
        <x:v>0</x:v>
      </x:c>
      <x:c r="N263" s="21" t="n">
        <x:v>0</x:v>
      </x:c>
      <x:c r="O263" s="21" t="n">
        <x:v>0</x:v>
      </x:c>
      <x:c r="P263" s="21" t="n">
        <x:v>0</x:v>
      </x:c>
      <x:c r="Q263" s="21" t="n">
        <x:v>0</x:v>
      </x:c>
      <x:c r="R263" s="21" t="n">
        <x:v>0</x:v>
      </x:c>
      <x:c r="S263" s="21" t="n">
        <x:v>0</x:v>
      </x:c>
      <x:c r="T263" s="21" t="n">
        <x:v>0</x:v>
      </x:c>
      <x:c r="U263" s="21" t="n">
        <x:v>0</x:v>
      </x:c>
      <x:c r="V263" s="21" t="n">
        <x:v>0</x:v>
      </x:c>
      <x:c r="W263" s="21" t="n">
        <x:v>3.8410596026490067</x:v>
      </x:c>
      <x:c r="X263" s="21" t="n">
        <x:v>2.6887417218543046</x:v>
      </x:c>
      <x:c r="Y263" s="21" t="n">
        <x:v>30.725403973509934</x:v>
      </x:c>
      <x:c r="Z263" s="21" t="n">
        <x:v>0.2304405298013245</x:v>
      </x:c>
      <x:c r="AA263" s="21" t="n">
        <x:v>19.205298013245034</x:v>
      </x:c>
      <x:c r="AB263" s="21" t="n">
        <x:v>0.68</x:v>
      </x:c>
      <x:c r="AC263" s="21" t="n">
        <x:v>0</x:v>
      </x:c>
      <x:c r="AD263" s="21" t="n">
        <x:v>0</x:v>
      </x:c>
      <x:c r="AE263" s="21" t="n">
        <x:v>0</x:v>
      </x:c>
      <x:c r="AF263" s="21" t="n">
        <x:v>0</x:v>
      </x:c>
      <x:c r="AG263" s="21" t="n">
        <x:v>0</x:v>
      </x:c>
      <x:c r="AH263" s="21" t="n">
        <x:v>0</x:v>
      </x:c>
      <x:c r="AI263" s="21" t="n">
        <x:v>0</x:v>
      </x:c>
      <x:c r="AJ263" s="21" t="n">
        <x:v>0</x:v>
      </x:c>
      <x:c r="AK263" s="21" t="n">
        <x:v>0</x:v>
      </x:c>
      <x:c r="AL263" s="21" t="n">
        <x:v>0</x:v>
      </x:c>
      <x:c r="AM263" s="21" t="n">
        <x:v>1</x:v>
      </x:c>
      <x:c r="AN263" s="21" t="n">
        <x:v>1</x:v>
      </x:c>
      <x:c r="AO263" s="21" t="n">
        <x:v>1</x:v>
      </x:c>
      <x:c r="AP263" s="21" t="n">
        <x:v>0.99</x:v>
      </x:c>
      <x:c r="AQ263" s="21" t="n">
        <x:v>1.01</x:v>
      </x:c>
      <x:c r="AR263" s="21" t="n">
        <x:v>1</x:v>
      </x:c>
      <x:c r="AS263" s="21" t="n">
        <x:v>1</x:v>
      </x:c>
      <x:c r="AT263" s="21" t="n">
        <x:v>1</x:v>
      </x:c>
      <x:c r="AU263" s="21" t="n">
        <x:v>0</x:v>
      </x:c>
      <x:c r="AV263" s="22" t="n">
        <x:f>IF(C263="QB",N263*0.04+O263*4-P263*2+R263*0.1+S263*6,IF(OR(C263="RB",C263="WR",C263="TE"),U263*0.1+V263*6+R263*0.1+S263*6+X263*0.5+Y263*0.1+Z263*6,IF(C263="K",AC263*3+AD263*4+AE263*5+AF263,IF(C263="DST",AG263+AH263*2+AI263*6+AL263,0))))</x:f>
        <x:v>5.799554437086093</x:v>
      </x:c>
      <x:c r="AW263" s="22" t="n">
        <x:f>(AV263+AU263)*G263</x:f>
        <x:v>5.799554437086093</x:v>
      </x:c>
      <x:c r="AX263" s="22" t="n">
        <x:f>MAX(0,AW263*IF(C263="QB",0.68,IF(C263="RB",0.58,IF(C263="WR",0.52,IF(C263="TE",0.50,IF(C263="K",0.55,0.40))))))</x:f>
        <x:v>2.8997772185430466</x:v>
      </x:c>
      <x:c r="AY263" s="22" t="n">
        <x:f>AW263*IF(C263="QB",1.32,IF(C263="RB",1.45,IF(C263="WR",1.55,IF(C263="TE",1.60,IF(C263="K",1.45,1.65)))))</x:f>
        <x:v>9.279287099337749</x:v>
      </x:c>
      <x:c r="AZ263" s="12" t="str">
        <x:v>High</x:v>
      </x:c>
      <x:c r="BA263" s="12" t="n">
        <x:v>4</x:v>
      </x:c>
      <x:c r="BB263" s="12" t="n">
        <x:f>COUNTIFS($C$2:$C$344,C263,$AW$2:$AW$344,"&gt;"&amp;AW263,$G$2:$G$344,"&gt;0")+COUNTIFS($C$2:C263,C263,$AW$2:AW263,AW263,$G$2:G263,"&gt;0")</x:f>
        <x:v>22</x:v>
      </x:c>
      <x:c r="BC263" s="12" t="n">
        <x:v>22</x:v>
      </x:c>
      <x:c r="BD263" s="12" t="str">
        <x:f>IF(BB263&lt;BC263,"↑",IF(BB263&gt;BC263,"↓","→"))</x:f>
        <x:v>→</x:v>
      </x:c>
      <x:c r="BE263" s="23" t="str">
        <x:v>Fantasy Football Brief ROS baseline; official NFL schedule</x:v>
      </x:c>
      <x:c r="BF263" s="23" t="str">
        <x:v>Current role and availability baseline; all adjustment factors shown numerically</x:v>
      </x:c>
      <x:c r="BG263" s="23" t="str">
        <x:v>Material injury, depth-chart, or role change</x:v>
      </x:c>
      <x:c r="BH263" s="24" t="str">
        <x:v>2026-09-23 10:35 CT</x:v>
      </x:c>
    </x:row>
    <x:row r="264">
      <x:c r="A264" s="12" t="str">
        <x:v>Pat Freiermuth</x:v>
      </x:c>
      <x:c r="B264" s="12" t="str">
        <x:v>PIT</x:v>
      </x:c>
      <x:c r="C264" s="12" t="str">
        <x:v>TE</x:v>
      </x:c>
      <x:c r="D264" s="12" t="str">
        <x:v>CIN</x:v>
      </x:c>
      <x:c r="E264" s="12" t="str">
        <x:v>Home</x:v>
      </x:c>
      <x:c r="F264" s="12" t="str">
        <x:v>2026-09-27</x:v>
      </x:c>
      <x:c r="G264" s="19" t="n">
        <x:v>1</x:v>
      </x:c>
      <x:c r="H264" s="20" t="str">
        <x:v>ACTIVE</x:v>
      </x:c>
      <x:c r="I264" s="20" t="n">
        <x:v>44</x:v>
      </x:c>
      <x:c r="J264" s="20" t="str">
        <x:v>Routes</x:v>
      </x:c>
      <x:c r="K264" s="20" t="n">
        <x:v>19.205298013245034</x:v>
      </x:c>
      <x:c r="L264" s="21" t="n">
        <x:v>0</x:v>
      </x:c>
      <x:c r="M264" s="21" t="n">
        <x:v>0</x:v>
      </x:c>
      <x:c r="N264" s="21" t="n">
        <x:v>0</x:v>
      </x:c>
      <x:c r="O264" s="21" t="n">
        <x:v>0</x:v>
      </x:c>
      <x:c r="P264" s="21" t="n">
        <x:v>0</x:v>
      </x:c>
      <x:c r="Q264" s="21" t="n">
        <x:v>0</x:v>
      </x:c>
      <x:c r="R264" s="21" t="n">
        <x:v>0</x:v>
      </x:c>
      <x:c r="S264" s="21" t="n">
        <x:v>0</x:v>
      </x:c>
      <x:c r="T264" s="21" t="n">
        <x:v>0</x:v>
      </x:c>
      <x:c r="U264" s="21" t="n">
        <x:v>0</x:v>
      </x:c>
      <x:c r="V264" s="21" t="n">
        <x:v>0</x:v>
      </x:c>
      <x:c r="W264" s="21" t="n">
        <x:v>3.8410596026490067</x:v>
      </x:c>
      <x:c r="X264" s="21" t="n">
        <x:v>2.6887417218543046</x:v>
      </x:c>
      <x:c r="Y264" s="21" t="n">
        <x:v>30.421192052980132</x:v>
      </x:c>
      <x:c r="Z264" s="21" t="n">
        <x:v>0.228158940397351</x:v>
      </x:c>
      <x:c r="AA264" s="21" t="n">
        <x:v>19.205298013245034</x:v>
      </x:c>
      <x:c r="AB264" s="21" t="n">
        <x:v>0.68</x:v>
      </x:c>
      <x:c r="AC264" s="21" t="n">
        <x:v>0</x:v>
      </x:c>
      <x:c r="AD264" s="21" t="n">
        <x:v>0</x:v>
      </x:c>
      <x:c r="AE264" s="21" t="n">
        <x:v>0</x:v>
      </x:c>
      <x:c r="AF264" s="21" t="n">
        <x:v>0</x:v>
      </x:c>
      <x:c r="AG264" s="21" t="n">
        <x:v>0</x:v>
      </x:c>
      <x:c r="AH264" s="21" t="n">
        <x:v>0</x:v>
      </x:c>
      <x:c r="AI264" s="21" t="n">
        <x:v>0</x:v>
      </x:c>
      <x:c r="AJ264" s="21" t="n">
        <x:v>0</x:v>
      </x:c>
      <x:c r="AK264" s="21" t="n">
        <x:v>0</x:v>
      </x:c>
      <x:c r="AL264" s="21" t="n">
        <x:v>0</x:v>
      </x:c>
      <x:c r="AM264" s="21" t="n">
        <x:v>1</x:v>
      </x:c>
      <x:c r="AN264" s="21" t="n">
        <x:v>1</x:v>
      </x:c>
      <x:c r="AO264" s="21" t="n">
        <x:v>1</x:v>
      </x:c>
      <x:c r="AP264" s="21" t="n">
        <x:v>0.99</x:v>
      </x:c>
      <x:c r="AQ264" s="21" t="n">
        <x:v>1</x:v>
      </x:c>
      <x:c r="AR264" s="21" t="n">
        <x:v>1</x:v>
      </x:c>
      <x:c r="AS264" s="21" t="n">
        <x:v>1</x:v>
      </x:c>
      <x:c r="AT264" s="21" t="n">
        <x:v>1</x:v>
      </x:c>
      <x:c r="AU264" s="21" t="n">
        <x:v>0</x:v>
      </x:c>
      <x:c r="AV264" s="22" t="n">
        <x:f>IF(C264="QB",N264*0.04+O264*4-P264*2+R264*0.1+S264*6,IF(OR(C264="RB",C264="WR",C264="TE"),U264*0.1+V264*6+R264*0.1+S264*6+X264*0.5+Y264*0.1+Z264*6,IF(C264="K",AC264*3+AD264*4+AE264*5+AF264,IF(C264="DST",AG264+AH264*2+AI264*6+AL264,0))))</x:f>
        <x:v>5.755443708609272</x:v>
      </x:c>
      <x:c r="AW264" s="22" t="n">
        <x:f>(AV264+AU264)*G264</x:f>
        <x:v>5.755443708609272</x:v>
      </x:c>
      <x:c r="AX264" s="22" t="n">
        <x:f>MAX(0,AW264*IF(C264="QB",0.68,IF(C264="RB",0.58,IF(C264="WR",0.52,IF(C264="TE",0.50,IF(C264="K",0.55,0.40))))))</x:f>
        <x:v>2.877721854304636</x:v>
      </x:c>
      <x:c r="AY264" s="22" t="n">
        <x:f>AW264*IF(C264="QB",1.32,IF(C264="RB",1.45,IF(C264="WR",1.55,IF(C264="TE",1.60,IF(C264="K",1.45,1.65)))))</x:f>
        <x:v>9.208709933774836</x:v>
      </x:c>
      <x:c r="AZ264" s="12" t="str">
        <x:v>High</x:v>
      </x:c>
      <x:c r="BA264" s="12" t="n">
        <x:v>4</x:v>
      </x:c>
      <x:c r="BB264" s="12" t="n">
        <x:f>COUNTIFS($C$2:$C$344,C264,$AW$2:$AW$344,"&gt;"&amp;AW264,$G$2:$G$344,"&gt;0")+COUNTIFS($C$2:C264,C264,$AW$2:AW264,AW264,$G$2:G264,"&gt;0")</x:f>
        <x:v>23</x:v>
      </x:c>
      <x:c r="BC264" s="12" t="n">
        <x:v>23</x:v>
      </x:c>
      <x:c r="BD264" s="12" t="str">
        <x:f>IF(BB264&lt;BC264,"↑",IF(BB264&gt;BC264,"↓","→"))</x:f>
        <x:v>→</x:v>
      </x:c>
      <x:c r="BE264" s="23" t="str">
        <x:v>Fantasy Football Brief ROS baseline; official NFL schedule</x:v>
      </x:c>
      <x:c r="BF264" s="23" t="str">
        <x:v>Current role and availability baseline; all adjustment factors shown numerically</x:v>
      </x:c>
      <x:c r="BG264" s="23" t="str">
        <x:v>Material injury, depth-chart, or role change</x:v>
      </x:c>
      <x:c r="BH264" s="24" t="str">
        <x:v>2026-09-23 10:35 CT</x:v>
      </x:c>
    </x:row>
    <x:row r="265">
      <x:c r="A265" s="12" t="str">
        <x:v>Kenyon Sadiq</x:v>
      </x:c>
      <x:c r="B265" s="12" t="str">
        <x:v>NYJ</x:v>
      </x:c>
      <x:c r="C265" s="12" t="str">
        <x:v>TE</x:v>
      </x:c>
      <x:c r="D265" s="12" t="str">
        <x:v>DET</x:v>
      </x:c>
      <x:c r="E265" s="12" t="str">
        <x:v>Away</x:v>
      </x:c>
      <x:c r="F265" s="12" t="str">
        <x:v>2026-09-27</x:v>
      </x:c>
      <x:c r="G265" s="19" t="n">
        <x:v>1</x:v>
      </x:c>
      <x:c r="H265" s="20" t="str">
        <x:v>ACTIVE</x:v>
      </x:c>
      <x:c r="I265" s="20" t="n">
        <x:v>44</x:v>
      </x:c>
      <x:c r="J265" s="20" t="str">
        <x:v>Routes</x:v>
      </x:c>
      <x:c r="K265" s="20" t="n">
        <x:v>18.874172185430467</x:v>
      </x:c>
      <x:c r="L265" s="21" t="n">
        <x:v>0</x:v>
      </x:c>
      <x:c r="M265" s="21" t="n">
        <x:v>0</x:v>
      </x:c>
      <x:c r="N265" s="21" t="n">
        <x:v>0</x:v>
      </x:c>
      <x:c r="O265" s="21" t="n">
        <x:v>0</x:v>
      </x:c>
      <x:c r="P265" s="21" t="n">
        <x:v>0</x:v>
      </x:c>
      <x:c r="Q265" s="21" t="n">
        <x:v>0</x:v>
      </x:c>
      <x:c r="R265" s="21" t="n">
        <x:v>0</x:v>
      </x:c>
      <x:c r="S265" s="21" t="n">
        <x:v>0</x:v>
      </x:c>
      <x:c r="T265" s="21" t="n">
        <x:v>0</x:v>
      </x:c>
      <x:c r="U265" s="21" t="n">
        <x:v>0</x:v>
      </x:c>
      <x:c r="V265" s="21" t="n">
        <x:v>0</x:v>
      </x:c>
      <x:c r="W265" s="21" t="n">
        <x:v>3.774834437086093</x:v>
      </x:c>
      <x:c r="X265" s="21" t="n">
        <x:v>2.6423841059602653</x:v>
      </x:c>
      <x:c r="Y265" s="21" t="n">
        <x:v>30.464423841059602</x:v>
      </x:c>
      <x:c r="Z265" s="21" t="n">
        <x:v>0.228483178807947</x:v>
      </x:c>
      <x:c r="AA265" s="21" t="n">
        <x:v>18.874172185430467</x:v>
      </x:c>
      <x:c r="AB265" s="21" t="n">
        <x:v>0.68</x:v>
      </x:c>
      <x:c r="AC265" s="21" t="n">
        <x:v>0</x:v>
      </x:c>
      <x:c r="AD265" s="21" t="n">
        <x:v>0</x:v>
      </x:c>
      <x:c r="AE265" s="21" t="n">
        <x:v>0</x:v>
      </x:c>
      <x:c r="AF265" s="21" t="n">
        <x:v>0</x:v>
      </x:c>
      <x:c r="AG265" s="21" t="n">
        <x:v>0</x:v>
      </x:c>
      <x:c r="AH265" s="21" t="n">
        <x:v>0</x:v>
      </x:c>
      <x:c r="AI265" s="21" t="n">
        <x:v>0</x:v>
      </x:c>
      <x:c r="AJ265" s="21" t="n">
        <x:v>0</x:v>
      </x:c>
      <x:c r="AK265" s="21" t="n">
        <x:v>0</x:v>
      </x:c>
      <x:c r="AL265" s="21" t="n">
        <x:v>0</x:v>
      </x:c>
      <x:c r="AM265" s="21" t="n">
        <x:v>1</x:v>
      </x:c>
      <x:c r="AN265" s="21" t="n">
        <x:v>1</x:v>
      </x:c>
      <x:c r="AO265" s="21" t="n">
        <x:v>1</x:v>
      </x:c>
      <x:c r="AP265" s="21" t="n">
        <x:v>0.97</x:v>
      </x:c>
      <x:c r="AQ265" s="21" t="n">
        <x:v>1.04</x:v>
      </x:c>
      <x:c r="AR265" s="21" t="n">
        <x:v>1</x:v>
      </x:c>
      <x:c r="AS265" s="21" t="n">
        <x:v>1</x:v>
      </x:c>
      <x:c r="AT265" s="21" t="n">
        <x:v>1</x:v>
      </x:c>
      <x:c r="AU265" s="21" t="n">
        <x:v>0</x:v>
      </x:c>
      <x:c r="AV265" s="22" t="n">
        <x:f>IF(C265="QB",N265*0.04+O265*4-P265*2+R265*0.1+S265*6,IF(OR(C265="RB",C265="WR",C265="TE"),U265*0.1+V265*6+R265*0.1+S265*6+X265*0.5+Y265*0.1+Z265*6,IF(C265="K",AC265*3+AD265*4+AE265*5+AF265,IF(C265="DST",AG265+AH265*2+AI265*6+AL265,0))))</x:f>
        <x:v>5.738533509933775</x:v>
      </x:c>
      <x:c r="AW265" s="22" t="n">
        <x:f>(AV265+AU265)*G265</x:f>
        <x:v>5.738533509933775</x:v>
      </x:c>
      <x:c r="AX265" s="22" t="n">
        <x:f>MAX(0,AW265*IF(C265="QB",0.68,IF(C265="RB",0.58,IF(C265="WR",0.52,IF(C265="TE",0.50,IF(C265="K",0.55,0.40))))))</x:f>
        <x:v>2.8692667549668873</x:v>
      </x:c>
      <x:c r="AY265" s="22" t="n">
        <x:f>AW265*IF(C265="QB",1.32,IF(C265="RB",1.45,IF(C265="WR",1.55,IF(C265="TE",1.60,IF(C265="K",1.45,1.65)))))</x:f>
        <x:v>9.18165361589404</x:v>
      </x:c>
      <x:c r="AZ265" s="12" t="str">
        <x:v>High</x:v>
      </x:c>
      <x:c r="BA265" s="12" t="n">
        <x:v>4</x:v>
      </x:c>
      <x:c r="BB265" s="12" t="n">
        <x:f>COUNTIFS($C$2:$C$344,C265,$AW$2:$AW$344,"&gt;"&amp;AW265,$G$2:$G$344,"&gt;0")+COUNTIFS($C$2:C265,C265,$AW$2:AW265,AW265,$G$2:G265,"&gt;0")</x:f>
        <x:v>24</x:v>
      </x:c>
      <x:c r="BC265" s="12" t="n">
        <x:v>24</x:v>
      </x:c>
      <x:c r="BD265" s="12" t="str">
        <x:f>IF(BB265&lt;BC265,"↑",IF(BB265&gt;BC265,"↓","→"))</x:f>
        <x:v>→</x:v>
      </x:c>
      <x:c r="BE265" s="23" t="str">
        <x:v>Fantasy Football Brief ROS baseline; official NFL schedule</x:v>
      </x:c>
      <x:c r="BF265" s="23" t="str">
        <x:v>Current role and availability baseline; all adjustment factors shown numerically</x:v>
      </x:c>
      <x:c r="BG265" s="23" t="str">
        <x:v>Material injury, depth-chart, or role change</x:v>
      </x:c>
      <x:c r="BH265" s="24" t="str">
        <x:v>2026-09-23 10:35 CT</x:v>
      </x:c>
    </x:row>
    <x:row r="266">
      <x:c r="A266" s="12" t="str">
        <x:v>Michael Mayer</x:v>
      </x:c>
      <x:c r="B266" s="12" t="str">
        <x:v>LV</x:v>
      </x:c>
      <x:c r="C266" s="12" t="str">
        <x:v>TE</x:v>
      </x:c>
      <x:c r="D266" s="12" t="str">
        <x:v>NO</x:v>
      </x:c>
      <x:c r="E266" s="12" t="str">
        <x:v>Away</x:v>
      </x:c>
      <x:c r="F266" s="12" t="str">
        <x:v>2026-09-27</x:v>
      </x:c>
      <x:c r="G266" s="19" t="n">
        <x:v>1</x:v>
      </x:c>
      <x:c r="H266" s="20" t="str">
        <x:v>ACTIVE</x:v>
      </x:c>
      <x:c r="I266" s="20" t="n">
        <x:v>44</x:v>
      </x:c>
      <x:c r="J266" s="20" t="str">
        <x:v>Routes</x:v>
      </x:c>
      <x:c r="K266" s="20" t="n">
        <x:v>17.218543046357617</x:v>
      </x:c>
      <x:c r="L266" s="21" t="n">
        <x:v>0</x:v>
      </x:c>
      <x:c r="M266" s="21" t="n">
        <x:v>0</x:v>
      </x:c>
      <x:c r="N266" s="21" t="n">
        <x:v>0</x:v>
      </x:c>
      <x:c r="O266" s="21" t="n">
        <x:v>0</x:v>
      </x:c>
      <x:c r="P266" s="21" t="n">
        <x:v>0</x:v>
      </x:c>
      <x:c r="Q266" s="21" t="n">
        <x:v>0</x:v>
      </x:c>
      <x:c r="R266" s="21" t="n">
        <x:v>0</x:v>
      </x:c>
      <x:c r="S266" s="21" t="n">
        <x:v>0</x:v>
      </x:c>
      <x:c r="T266" s="21" t="n">
        <x:v>0</x:v>
      </x:c>
      <x:c r="U266" s="21" t="n">
        <x:v>0</x:v>
      </x:c>
      <x:c r="V266" s="21" t="n">
        <x:v>0</x:v>
      </x:c>
      <x:c r="W266" s="21" t="n">
        <x:v>3.4437086092715234</x:v>
      </x:c>
      <x:c r="X266" s="21" t="n">
        <x:v>2.4105960264900665</x:v>
      </x:c>
      <x:c r="Y266" s="21" t="n">
        <x:v>27.53864900662252</x:v>
      </x:c>
      <x:c r="Z266" s="21" t="n">
        <x:v>0.2065398675496689</x:v>
      </x:c>
      <x:c r="AA266" s="21" t="n">
        <x:v>17.218543046357617</x:v>
      </x:c>
      <x:c r="AB266" s="21" t="n">
        <x:v>0.68</x:v>
      </x:c>
      <x:c r="AC266" s="21" t="n">
        <x:v>0</x:v>
      </x:c>
      <x:c r="AD266" s="21" t="n">
        <x:v>0</x:v>
      </x:c>
      <x:c r="AE266" s="21" t="n">
        <x:v>0</x:v>
      </x:c>
      <x:c r="AF266" s="21" t="n">
        <x:v>0</x:v>
      </x:c>
      <x:c r="AG266" s="21" t="n">
        <x:v>0</x:v>
      </x:c>
      <x:c r="AH266" s="21" t="n">
        <x:v>0</x:v>
      </x:c>
      <x:c r="AI266" s="21" t="n">
        <x:v>0</x:v>
      </x:c>
      <x:c r="AJ266" s="21" t="n">
        <x:v>0</x:v>
      </x:c>
      <x:c r="AK266" s="21" t="n">
        <x:v>0</x:v>
      </x:c>
      <x:c r="AL266" s="21" t="n">
        <x:v>0</x:v>
      </x:c>
      <x:c r="AM266" s="21" t="n">
        <x:v>1</x:v>
      </x:c>
      <x:c r="AN266" s="21" t="n">
        <x:v>1</x:v>
      </x:c>
      <x:c r="AO266" s="21" t="n">
        <x:v>1</x:v>
      </x:c>
      <x:c r="AP266" s="21" t="n">
        <x:v>0.98</x:v>
      </x:c>
      <x:c r="AQ266" s="21" t="n">
        <x:v>1.02</x:v>
      </x:c>
      <x:c r="AR266" s="21" t="n">
        <x:v>1</x:v>
      </x:c>
      <x:c r="AS266" s="21" t="n">
        <x:v>1</x:v>
      </x:c>
      <x:c r="AT266" s="21" t="n">
        <x:v>1</x:v>
      </x:c>
      <x:c r="AU266" s="21" t="n">
        <x:v>0</x:v>
      </x:c>
      <x:c r="AV266" s="22" t="n">
        <x:f>IF(C266="QB",N266*0.04+O266*4-P266*2+R266*0.1+S266*6,IF(OR(C266="RB",C266="WR",C266="TE"),U266*0.1+V266*6+R266*0.1+S266*6+X266*0.5+Y266*0.1+Z266*6,IF(C266="K",AC266*3+AD266*4+AE266*5+AF266,IF(C266="DST",AG266+AH266*2+AI266*6+AL266,0))))</x:f>
        <x:v>5.1984021192053</x:v>
      </x:c>
      <x:c r="AW266" s="22" t="n">
        <x:f>(AV266+AU266)*G266</x:f>
        <x:v>5.1984021192053</x:v>
      </x:c>
      <x:c r="AX266" s="22" t="n">
        <x:f>MAX(0,AW266*IF(C266="QB",0.68,IF(C266="RB",0.58,IF(C266="WR",0.52,IF(C266="TE",0.50,IF(C266="K",0.55,0.40))))))</x:f>
        <x:v>2.59920105960265</x:v>
      </x:c>
      <x:c r="AY266" s="22" t="n">
        <x:f>AW266*IF(C266="QB",1.32,IF(C266="RB",1.45,IF(C266="WR",1.55,IF(C266="TE",1.60,IF(C266="K",1.45,1.65)))))</x:f>
        <x:v>8.31744339072848</x:v>
      </x:c>
      <x:c r="AZ266" s="12" t="str">
        <x:v>High</x:v>
      </x:c>
      <x:c r="BA266" s="12" t="n">
        <x:v>5</x:v>
      </x:c>
      <x:c r="BB266" s="12" t="n">
        <x:f>COUNTIFS($C$2:$C$344,C266,$AW$2:$AW$344,"&gt;"&amp;AW266,$G$2:$G$344,"&gt;0")+COUNTIFS($C$2:C266,C266,$AW$2:AW266,AW266,$G$2:G266,"&gt;0")</x:f>
        <x:v>25</x:v>
      </x:c>
      <x:c r="BC266" s="12" t="n">
        <x:v>25</x:v>
      </x:c>
      <x:c r="BD266" s="12" t="str">
        <x:f>IF(BB266&lt;BC266,"↑",IF(BB266&gt;BC266,"↓","→"))</x:f>
        <x:v>→</x:v>
      </x:c>
      <x:c r="BE266" s="23" t="str">
        <x:v>Fantasy Football Brief ROS baseline; official NFL schedule</x:v>
      </x:c>
      <x:c r="BF266" s="23" t="str">
        <x:v>Current role and availability baseline; all adjustment factors shown numerically</x:v>
      </x:c>
      <x:c r="BG266" s="23" t="str">
        <x:v>Material injury, depth-chart, or role change</x:v>
      </x:c>
      <x:c r="BH266" s="24" t="str">
        <x:v>2026-09-23 10:35 CT</x:v>
      </x:c>
    </x:row>
    <x:row r="267">
      <x:c r="A267" s="12" t="str">
        <x:v>Gunnar Helm</x:v>
      </x:c>
      <x:c r="B267" s="12" t="str">
        <x:v>TEN</x:v>
      </x:c>
      <x:c r="C267" s="12" t="str">
        <x:v>TE</x:v>
      </x:c>
      <x:c r="D267" s="12" t="str">
        <x:v>NYG</x:v>
      </x:c>
      <x:c r="E267" s="12" t="str">
        <x:v>Away</x:v>
      </x:c>
      <x:c r="F267" s="12" t="str">
        <x:v>2026-09-27</x:v>
      </x:c>
      <x:c r="G267" s="19" t="n">
        <x:v>1</x:v>
      </x:c>
      <x:c r="H267" s="20" t="str">
        <x:v>ACTIVE</x:v>
      </x:c>
      <x:c r="I267" s="20" t="n">
        <x:v>44</x:v>
      </x:c>
      <x:c r="J267" s="20" t="str">
        <x:v>Routes</x:v>
      </x:c>
      <x:c r="K267" s="20" t="n">
        <x:v>17.218543046357617</x:v>
      </x:c>
      <x:c r="L267" s="21" t="n">
        <x:v>0</x:v>
      </x:c>
      <x:c r="M267" s="21" t="n">
        <x:v>0</x:v>
      </x:c>
      <x:c r="N267" s="21" t="n">
        <x:v>0</x:v>
      </x:c>
      <x:c r="O267" s="21" t="n">
        <x:v>0</x:v>
      </x:c>
      <x:c r="P267" s="21" t="n">
        <x:v>0</x:v>
      </x:c>
      <x:c r="Q267" s="21" t="n">
        <x:v>0</x:v>
      </x:c>
      <x:c r="R267" s="21" t="n">
        <x:v>0</x:v>
      </x:c>
      <x:c r="S267" s="21" t="n">
        <x:v>0</x:v>
      </x:c>
      <x:c r="T267" s="21" t="n">
        <x:v>0</x:v>
      </x:c>
      <x:c r="U267" s="21" t="n">
        <x:v>0</x:v>
      </x:c>
      <x:c r="V267" s="21" t="n">
        <x:v>0</x:v>
      </x:c>
      <x:c r="W267" s="21" t="n">
        <x:v>3.4437086092715234</x:v>
      </x:c>
      <x:c r="X267" s="21" t="n">
        <x:v>2.4105960264900665</x:v>
      </x:c>
      <x:c r="Y267" s="21" t="n">
        <x:v>27.241112582781458</x:v>
      </x:c>
      <x:c r="Z267" s="21" t="n">
        <x:v>0.20430834437086096</x:v>
      </x:c>
      <x:c r="AA267" s="21" t="n">
        <x:v>17.218543046357617</x:v>
      </x:c>
      <x:c r="AB267" s="21" t="n">
        <x:v>0.68</x:v>
      </x:c>
      <x:c r="AC267" s="21" t="n">
        <x:v>0</x:v>
      </x:c>
      <x:c r="AD267" s="21" t="n">
        <x:v>0</x:v>
      </x:c>
      <x:c r="AE267" s="21" t="n">
        <x:v>0</x:v>
      </x:c>
      <x:c r="AF267" s="21" t="n">
        <x:v>0</x:v>
      </x:c>
      <x:c r="AG267" s="21" t="n">
        <x:v>0</x:v>
      </x:c>
      <x:c r="AH267" s="21" t="n">
        <x:v>0</x:v>
      </x:c>
      <x:c r="AI267" s="21" t="n">
        <x:v>0</x:v>
      </x:c>
      <x:c r="AJ267" s="21" t="n">
        <x:v>0</x:v>
      </x:c>
      <x:c r="AK267" s="21" t="n">
        <x:v>0</x:v>
      </x:c>
      <x:c r="AL267" s="21" t="n">
        <x:v>0</x:v>
      </x:c>
      <x:c r="AM267" s="21" t="n">
        <x:v>1</x:v>
      </x:c>
      <x:c r="AN267" s="21" t="n">
        <x:v>1</x:v>
      </x:c>
      <x:c r="AO267" s="21" t="n">
        <x:v>1</x:v>
      </x:c>
      <x:c r="AP267" s="21" t="n">
        <x:v>0.96</x:v>
      </x:c>
      <x:c r="AQ267" s="21" t="n">
        <x:v>1.03</x:v>
      </x:c>
      <x:c r="AR267" s="21" t="n">
        <x:v>1</x:v>
      </x:c>
      <x:c r="AS267" s="21" t="n">
        <x:v>1</x:v>
      </x:c>
      <x:c r="AT267" s="21" t="n">
        <x:v>1</x:v>
      </x:c>
      <x:c r="AU267" s="21" t="n">
        <x:v>0</x:v>
      </x:c>
      <x:c r="AV267" s="22" t="n">
        <x:f>IF(C267="QB",N267*0.04+O267*4-P267*2+R267*0.1+S267*6,IF(OR(C267="RB",C267="WR",C267="TE"),U267*0.1+V267*6+R267*0.1+S267*6+X267*0.5+Y267*0.1+Z267*6,IF(C267="K",AC267*3+AD267*4+AE267*5+AF267,IF(C267="DST",AG267+AH267*2+AI267*6+AL267,0))))</x:f>
        <x:v>5.155259337748346</x:v>
      </x:c>
      <x:c r="AW267" s="22" t="n">
        <x:f>(AV267+AU267)*G267</x:f>
        <x:v>5.155259337748346</x:v>
      </x:c>
      <x:c r="AX267" s="22" t="n">
        <x:f>MAX(0,AW267*IF(C267="QB",0.68,IF(C267="RB",0.58,IF(C267="WR",0.52,IF(C267="TE",0.50,IF(C267="K",0.55,0.40))))))</x:f>
        <x:v>2.577629668874173</x:v>
      </x:c>
      <x:c r="AY267" s="22" t="n">
        <x:f>AW267*IF(C267="QB",1.32,IF(C267="RB",1.45,IF(C267="WR",1.55,IF(C267="TE",1.60,IF(C267="K",1.45,1.65)))))</x:f>
        <x:v>8.248414940397353</x:v>
      </x:c>
      <x:c r="AZ267" s="12" t="str">
        <x:v>High</x:v>
      </x:c>
      <x:c r="BA267" s="12" t="n">
        <x:v>5</x:v>
      </x:c>
      <x:c r="BB267" s="12" t="n">
        <x:f>COUNTIFS($C$2:$C$344,C267,$AW$2:$AW$344,"&gt;"&amp;AW267,$G$2:$G$344,"&gt;0")+COUNTIFS($C$2:C267,C267,$AW$2:AW267,AW267,$G$2:G267,"&gt;0")</x:f>
        <x:v>26</x:v>
      </x:c>
      <x:c r="BC267" s="12" t="n">
        <x:v>26</x:v>
      </x:c>
      <x:c r="BD267" s="12" t="str">
        <x:f>IF(BB267&lt;BC267,"↑",IF(BB267&gt;BC267,"↓","→"))</x:f>
        <x:v>→</x:v>
      </x:c>
      <x:c r="BE267" s="23" t="str">
        <x:v>Fantasy Football Brief ROS baseline; official NFL schedule</x:v>
      </x:c>
      <x:c r="BF267" s="23" t="str">
        <x:v>Current role and availability baseline; all adjustment factors shown numerically</x:v>
      </x:c>
      <x:c r="BG267" s="23" t="str">
        <x:v>Material injury, depth-chart, or role change</x:v>
      </x:c>
      <x:c r="BH267" s="24" t="str">
        <x:v>2026-09-23 10:35 CT</x:v>
      </x:c>
    </x:row>
    <x:row r="268">
      <x:c r="A268" s="12" t="str">
        <x:v>Evan Engram</x:v>
      </x:c>
      <x:c r="B268" s="12" t="str">
        <x:v>DEN</x:v>
      </x:c>
      <x:c r="C268" s="12" t="str">
        <x:v>TE</x:v>
      </x:c>
      <x:c r="D268" s="12" t="str">
        <x:v>LAR</x:v>
      </x:c>
      <x:c r="E268" s="12" t="str">
        <x:v>Home</x:v>
      </x:c>
      <x:c r="F268" s="12" t="str">
        <x:v>2026-09-27</x:v>
      </x:c>
      <x:c r="G268" s="19" t="n">
        <x:v>1</x:v>
      </x:c>
      <x:c r="H268" s="20" t="str">
        <x:v>ACTIVE</x:v>
      </x:c>
      <x:c r="I268" s="20" t="n">
        <x:v>44</x:v>
      </x:c>
      <x:c r="J268" s="20" t="str">
        <x:v>Routes</x:v>
      </x:c>
      <x:c r="K268" s="20" t="n">
        <x:v>17.218543046357617</x:v>
      </x:c>
      <x:c r="L268" s="21" t="n">
        <x:v>0</x:v>
      </x:c>
      <x:c r="M268" s="21" t="n">
        <x:v>0</x:v>
      </x:c>
      <x:c r="N268" s="21" t="n">
        <x:v>0</x:v>
      </x:c>
      <x:c r="O268" s="21" t="n">
        <x:v>0</x:v>
      </x:c>
      <x:c r="P268" s="21" t="n">
        <x:v>0</x:v>
      </x:c>
      <x:c r="Q268" s="21" t="n">
        <x:v>0</x:v>
      </x:c>
      <x:c r="R268" s="21" t="n">
        <x:v>0</x:v>
      </x:c>
      <x:c r="S268" s="21" t="n">
        <x:v>0</x:v>
      </x:c>
      <x:c r="T268" s="21" t="n">
        <x:v>0</x:v>
      </x:c>
      <x:c r="U268" s="21" t="n">
        <x:v>0</x:v>
      </x:c>
      <x:c r="V268" s="21" t="n">
        <x:v>0</x:v>
      </x:c>
      <x:c r="W268" s="21" t="n">
        <x:v>3.4437086092715234</x:v>
      </x:c>
      <x:c r="X268" s="21" t="n">
        <x:v>2.4105960264900665</x:v>
      </x:c>
      <x:c r="Y268" s="21" t="n">
        <x:v>26.998675496688744</x:v>
      </x:c>
      <x:c r="Z268" s="21" t="n">
        <x:v>0.20249006622516558</x:v>
      </x:c>
      <x:c r="AA268" s="21" t="n">
        <x:v>17.218543046357617</x:v>
      </x:c>
      <x:c r="AB268" s="21" t="n">
        <x:v>0.68</x:v>
      </x:c>
      <x:c r="AC268" s="21" t="n">
        <x:v>0</x:v>
      </x:c>
      <x:c r="AD268" s="21" t="n">
        <x:v>0</x:v>
      </x:c>
      <x:c r="AE268" s="21" t="n">
        <x:v>0</x:v>
      </x:c>
      <x:c r="AF268" s="21" t="n">
        <x:v>0</x:v>
      </x:c>
      <x:c r="AG268" s="21" t="n">
        <x:v>0</x:v>
      </x:c>
      <x:c r="AH268" s="21" t="n">
        <x:v>0</x:v>
      </x:c>
      <x:c r="AI268" s="21" t="n">
        <x:v>0</x:v>
      </x:c>
      <x:c r="AJ268" s="21" t="n">
        <x:v>0</x:v>
      </x:c>
      <x:c r="AK268" s="21" t="n">
        <x:v>0</x:v>
      </x:c>
      <x:c r="AL268" s="21" t="n">
        <x:v>0</x:v>
      </x:c>
      <x:c r="AM268" s="21" t="n">
        <x:v>1</x:v>
      </x:c>
      <x:c r="AN268" s="21" t="n">
        <x:v>1</x:v>
      </x:c>
      <x:c r="AO268" s="21" t="n">
        <x:v>1</x:v>
      </x:c>
      <x:c r="AP268" s="21" t="n">
        <x:v>1</x:v>
      </x:c>
      <x:c r="AQ268" s="21" t="n">
        <x:v>0.98</x:v>
      </x:c>
      <x:c r="AR268" s="21" t="n">
        <x:v>1</x:v>
      </x:c>
      <x:c r="AS268" s="21" t="n">
        <x:v>1</x:v>
      </x:c>
      <x:c r="AT268" s="21" t="n">
        <x:v>1</x:v>
      </x:c>
      <x:c r="AU268" s="21" t="n">
        <x:v>0</x:v>
      </x:c>
      <x:c r="AV268" s="22" t="n">
        <x:f>IF(C268="QB",N268*0.04+O268*4-P268*2+R268*0.1+S268*6,IF(OR(C268="RB",C268="WR",C268="TE"),U268*0.1+V268*6+R268*0.1+S268*6+X268*0.5+Y268*0.1+Z268*6,IF(C268="K",AC268*3+AD268*4+AE268*5+AF268,IF(C268="DST",AG268+AH268*2+AI268*6+AL268,0))))</x:f>
        <x:v>5.120105960264901</x:v>
      </x:c>
      <x:c r="AW268" s="22" t="n">
        <x:f>(AV268+AU268)*G268</x:f>
        <x:v>5.120105960264901</x:v>
      </x:c>
      <x:c r="AX268" s="22" t="n">
        <x:f>MAX(0,AW268*IF(C268="QB",0.68,IF(C268="RB",0.58,IF(C268="WR",0.52,IF(C268="TE",0.50,IF(C268="K",0.55,0.40))))))</x:f>
        <x:v>2.5600529801324505</x:v>
      </x:c>
      <x:c r="AY268" s="22" t="n">
        <x:f>AW268*IF(C268="QB",1.32,IF(C268="RB",1.45,IF(C268="WR",1.55,IF(C268="TE",1.60,IF(C268="K",1.45,1.65)))))</x:f>
        <x:v>8.192169536423842</x:v>
      </x:c>
      <x:c r="AZ268" s="12" t="str">
        <x:v>High</x:v>
      </x:c>
      <x:c r="BA268" s="12" t="n">
        <x:v>5</x:v>
      </x:c>
      <x:c r="BB268" s="12" t="n">
        <x:f>COUNTIFS($C$2:$C$344,C268,$AW$2:$AW$344,"&gt;"&amp;AW268,$G$2:$G$344,"&gt;0")+COUNTIFS($C$2:C268,C268,$AW$2:AW268,AW268,$G$2:G268,"&gt;0")</x:f>
        <x:v>27</x:v>
      </x:c>
      <x:c r="BC268" s="12" t="n">
        <x:v>27</x:v>
      </x:c>
      <x:c r="BD268" s="12" t="str">
        <x:f>IF(BB268&lt;BC268,"↑",IF(BB268&gt;BC268,"↓","→"))</x:f>
        <x:v>→</x:v>
      </x:c>
      <x:c r="BE268" s="23" t="str">
        <x:v>Fantasy Football Brief ROS baseline; official NFL schedule</x:v>
      </x:c>
      <x:c r="BF268" s="23" t="str">
        <x:v>Current role and availability baseline; all adjustment factors shown numerically</x:v>
      </x:c>
      <x:c r="BG268" s="23" t="str">
        <x:v>Material injury, depth-chart, or role change</x:v>
      </x:c>
      <x:c r="BH268" s="24" t="str">
        <x:v>2026-09-23 10:35 CT</x:v>
      </x:c>
    </x:row>
    <x:row r="269">
      <x:c r="A269" s="12" t="str">
        <x:v>Zach Ertz</x:v>
      </x:c>
      <x:c r="B269" s="12" t="str">
        <x:v>PHI</x:v>
      </x:c>
      <x:c r="C269" s="12" t="str">
        <x:v>TE</x:v>
      </x:c>
      <x:c r="D269" s="12" t="str">
        <x:v>CHI</x:v>
      </x:c>
      <x:c r="E269" s="12" t="str">
        <x:v>Away</x:v>
      </x:c>
      <x:c r="F269" s="12" t="str">
        <x:v>2026-09-28</x:v>
      </x:c>
      <x:c r="G269" s="19" t="n">
        <x:v>0.88</x:v>
      </x:c>
      <x:c r="H269" s="20" t="str">
        <x:v>QUESTIONABLE</x:v>
      </x:c>
      <x:c r="I269" s="20" t="n">
        <x:v>44</x:v>
      </x:c>
      <x:c r="J269" s="20" t="str">
        <x:v>Routes</x:v>
      </x:c>
      <x:c r="K269" s="20" t="n">
        <x:v>24</x:v>
      </x:c>
      <x:c r="L269" s="21" t="n">
        <x:v>0</x:v>
      </x:c>
      <x:c r="M269" s="21" t="n">
        <x:v>0</x:v>
      </x:c>
      <x:c r="N269" s="21" t="n">
        <x:v>0</x:v>
      </x:c>
      <x:c r="O269" s="21" t="n">
        <x:v>0</x:v>
      </x:c>
      <x:c r="P269" s="21" t="n">
        <x:v>0</x:v>
      </x:c>
      <x:c r="Q269" s="21" t="n">
        <x:v>0</x:v>
      </x:c>
      <x:c r="R269" s="21" t="n">
        <x:v>0</x:v>
      </x:c>
      <x:c r="S269" s="21" t="n">
        <x:v>0</x:v>
      </x:c>
      <x:c r="T269" s="21" t="n">
        <x:v>0</x:v>
      </x:c>
      <x:c r="U269" s="21" t="n">
        <x:v>0</x:v>
      </x:c>
      <x:c r="V269" s="21" t="n">
        <x:v>0</x:v>
      </x:c>
      <x:c r="W269" s="21" t="n">
        <x:v>4.2</x:v>
      </x:c>
      <x:c r="X269" s="21" t="n">
        <x:v>2.8</x:v>
      </x:c>
      <x:c r="Y269" s="21" t="n">
        <x:v>32.77871999999999</x:v>
      </x:c>
      <x:c r="Z269" s="21" t="n">
        <x:v>0.189108</x:v>
      </x:c>
      <x:c r="AA269" s="21" t="n">
        <x:v>24</x:v>
      </x:c>
      <x:c r="AB269" s="21" t="n">
        <x:v>0.58</x:v>
      </x:c>
      <x:c r="AC269" s="21" t="n">
        <x:v>0</x:v>
      </x:c>
      <x:c r="AD269" s="21" t="n">
        <x:v>0</x:v>
      </x:c>
      <x:c r="AE269" s="21" t="n">
        <x:v>0</x:v>
      </x:c>
      <x:c r="AF269" s="21" t="n">
        <x:v>0</x:v>
      </x:c>
      <x:c r="AG269" s="21" t="n">
        <x:v>0</x:v>
      </x:c>
      <x:c r="AH269" s="21" t="n">
        <x:v>0</x:v>
      </x:c>
      <x:c r="AI269" s="21" t="n">
        <x:v>0</x:v>
      </x:c>
      <x:c r="AJ269" s="21" t="n">
        <x:v>0</x:v>
      </x:c>
      <x:c r="AK269" s="21" t="n">
        <x:v>0</x:v>
      </x:c>
      <x:c r="AL269" s="21" t="n">
        <x:v>0</x:v>
      </x:c>
      <x:c r="AM269" s="21" t="n">
        <x:v>0.88</x:v>
      </x:c>
      <x:c r="AN269" s="21" t="n">
        <x:v>1</x:v>
      </x:c>
      <x:c r="AO269" s="21" t="n">
        <x:v>1</x:v>
      </x:c>
      <x:c r="AP269" s="21" t="n">
        <x:v>1.03</x:v>
      </x:c>
      <x:c r="AQ269" s="21" t="n">
        <x:v>1.02</x:v>
      </x:c>
      <x:c r="AR269" s="21" t="n">
        <x:v>1</x:v>
      </x:c>
      <x:c r="AS269" s="21" t="n">
        <x:v>1</x:v>
      </x:c>
      <x:c r="AT269" s="21" t="n">
        <x:v>1</x:v>
      </x:c>
      <x:c r="AU269" s="21" t="n">
        <x:v>0</x:v>
      </x:c>
      <x:c r="AV269" s="22" t="n">
        <x:f>IF(C269="QB",N269*0.04+O269*4-P269*2+R269*0.1+S269*6,IF(OR(C269="RB",C269="WR",C269="TE"),U269*0.1+V269*6+R269*0.1+S269*6+X269*0.5+Y269*0.1+Z269*6,IF(C269="K",AC269*3+AD269*4+AE269*5+AF269,IF(C269="DST",AG269+AH269*2+AI269*6+AL269,0))))</x:f>
        <x:v>5.812519999999999</x:v>
      </x:c>
      <x:c r="AW269" s="22" t="n">
        <x:f>(AV269+AU269)*G269</x:f>
        <x:v>5.115017599999999</x:v>
      </x:c>
      <x:c r="AX269" s="22" t="n">
        <x:f>MAX(0,AW269*IF(C269="QB",0.68,IF(C269="RB",0.58,IF(C269="WR",0.52,IF(C269="TE",0.50,IF(C269="K",0.55,0.40))))))</x:f>
        <x:v>2.5575087999999995</x:v>
      </x:c>
      <x:c r="AY269" s="22" t="n">
        <x:f>AW269*IF(C269="QB",1.32,IF(C269="RB",1.45,IF(C269="WR",1.55,IF(C269="TE",1.60,IF(C269="K",1.45,1.65)))))</x:f>
        <x:v>8.184028159999999</x:v>
      </x:c>
      <x:c r="AZ269" s="12" t="str">
        <x:v>Moderate</x:v>
      </x:c>
      <x:c r="BA269" s="12" t="n">
        <x:v>5</x:v>
      </x:c>
      <x:c r="BB269" s="12" t="n">
        <x:f>COUNTIFS($C$2:$C$344,C269,$AW$2:$AW$344,"&gt;"&amp;AW269,$G$2:$G$344,"&gt;0")+COUNTIFS($C$2:C269,C269,$AW$2:AW269,AW269,$G$2:G269,"&gt;0")</x:f>
        <x:v>28</x:v>
      </x:c>
      <x:c r="BC269" s="12" t="n">
        <x:v>28</x:v>
      </x:c>
      <x:c r="BD269" s="12" t="str">
        <x:f>IF(BB269&lt;BC269,"↑",IF(BB269&gt;BC269,"↓","→"))</x:f>
        <x:v>→</x:v>
      </x:c>
      <x:c r="BE269" s="23" t="str">
        <x:v>Reuters, Sep. 21: Eagles reunited with Ertz after Goedert MCL sprain</x:v>
      </x:c>
      <x:c r="BF269" s="23" t="str">
        <x:v>Projected short-area committee lead if elevated from the practice squad.</x:v>
      </x:c>
      <x:c r="BG269" s="23" t="str">
        <x:v>Practice-squad elevation and route assignment</x:v>
      </x:c>
      <x:c r="BH269" s="24" t="str">
        <x:v>2026-09-23 10:35 CT</x:v>
      </x:c>
    </x:row>
    <x:row r="270">
      <x:c r="A270" s="12" t="str">
        <x:v>Chig Okonkwo</x:v>
      </x:c>
      <x:c r="B270" s="12" t="str">
        <x:v>WAS</x:v>
      </x:c>
      <x:c r="C270" s="12" t="str">
        <x:v>TE</x:v>
      </x:c>
      <x:c r="D270" s="12" t="str">
        <x:v>SEA</x:v>
      </x:c>
      <x:c r="E270" s="12" t="str">
        <x:v>Home</x:v>
      </x:c>
      <x:c r="F270" s="12" t="str">
        <x:v>2026-09-27</x:v>
      </x:c>
      <x:c r="G270" s="19" t="n">
        <x:v>0.9333333333333333</x:v>
      </x:c>
      <x:c r="H270" s="20" t="str">
        <x:v>ACTIVE</x:v>
      </x:c>
      <x:c r="I270" s="20" t="n">
        <x:v>41.06666666666667</x:v>
      </x:c>
      <x:c r="J270" s="20" t="str">
        <x:v>Routes</x:v>
      </x:c>
      <x:c r="K270" s="20" t="n">
        <x:v>17.88079470198676</x:v>
      </x:c>
      <x:c r="L270" s="21" t="n">
        <x:v>0</x:v>
      </x:c>
      <x:c r="M270" s="21" t="n">
        <x:v>0</x:v>
      </x:c>
      <x:c r="N270" s="21" t="n">
        <x:v>0</x:v>
      </x:c>
      <x:c r="O270" s="21" t="n">
        <x:v>0</x:v>
      </x:c>
      <x:c r="P270" s="21" t="n">
        <x:v>0</x:v>
      </x:c>
      <x:c r="Q270" s="21" t="n">
        <x:v>0</x:v>
      </x:c>
      <x:c r="R270" s="21" t="n">
        <x:v>0</x:v>
      </x:c>
      <x:c r="S270" s="21" t="n">
        <x:v>0</x:v>
      </x:c>
      <x:c r="T270" s="21" t="n">
        <x:v>0</x:v>
      </x:c>
      <x:c r="U270" s="21" t="n">
        <x:v>0</x:v>
      </x:c>
      <x:c r="V270" s="21" t="n">
        <x:v>0</x:v>
      </x:c>
      <x:c r="W270" s="21" t="n">
        <x:v>3.5761589403973515</x:v>
      </x:c>
      <x:c r="X270" s="21" t="n">
        <x:v>2.503311258278146</x:v>
      </x:c>
      <x:c r="Y270" s="21" t="n">
        <x:v>27.19597350993378</x:v>
      </x:c>
      <x:c r="Z270" s="21" t="n">
        <x:v>0.20396980132450332</x:v>
      </x:c>
      <x:c r="AA270" s="21" t="n">
        <x:v>17.88079470198676</x:v>
      </x:c>
      <x:c r="AB270" s="21" t="n">
        <x:v>0.68</x:v>
      </x:c>
      <x:c r="AC270" s="21" t="n">
        <x:v>0</x:v>
      </x:c>
      <x:c r="AD270" s="21" t="n">
        <x:v>0</x:v>
      </x:c>
      <x:c r="AE270" s="21" t="n">
        <x:v>0</x:v>
      </x:c>
      <x:c r="AF270" s="21" t="n">
        <x:v>0</x:v>
      </x:c>
      <x:c r="AG270" s="21" t="n">
        <x:v>0</x:v>
      </x:c>
      <x:c r="AH270" s="21" t="n">
        <x:v>0</x:v>
      </x:c>
      <x:c r="AI270" s="21" t="n">
        <x:v>0</x:v>
      </x:c>
      <x:c r="AJ270" s="21" t="n">
        <x:v>0</x:v>
      </x:c>
      <x:c r="AK270" s="21" t="n">
        <x:v>0</x:v>
      </x:c>
      <x:c r="AL270" s="21" t="n">
        <x:v>0</x:v>
      </x:c>
      <x:c r="AM270" s="21" t="n">
        <x:v>0.9333333333333333</x:v>
      </x:c>
      <x:c r="AN270" s="21" t="n">
        <x:v>1</x:v>
      </x:c>
      <x:c r="AO270" s="21" t="n">
        <x:v>1</x:v>
      </x:c>
      <x:c r="AP270" s="21" t="n">
        <x:v>0.97</x:v>
      </x:c>
      <x:c r="AQ270" s="21" t="n">
        <x:v>0.98</x:v>
      </x:c>
      <x:c r="AR270" s="21" t="n">
        <x:v>1</x:v>
      </x:c>
      <x:c r="AS270" s="21" t="n">
        <x:v>1</x:v>
      </x:c>
      <x:c r="AT270" s="21" t="n">
        <x:v>1</x:v>
      </x:c>
      <x:c r="AU270" s="21" t="n">
        <x:v>0</x:v>
      </x:c>
      <x:c r="AV270" s="22" t="n">
        <x:f>IF(C270="QB",N270*0.04+O270*4-P270*2+R270*0.1+S270*6,IF(OR(C270="RB",C270="WR",C270="TE"),U270*0.1+V270*6+R270*0.1+S270*6+X270*0.5+Y270*0.1+Z270*6,IF(C270="K",AC270*3+AD270*4+AE270*5+AF270,IF(C270="DST",AG270+AH270*2+AI270*6+AL270,0))))</x:f>
        <x:v>5.1950717880794715</x:v>
      </x:c>
      <x:c r="AW270" s="22" t="n">
        <x:f>(AV270+AU270)*G270</x:f>
        <x:v>4.848733668874173</x:v>
      </x:c>
      <x:c r="AX270" s="22" t="n">
        <x:f>MAX(0,AW270*IF(C270="QB",0.68,IF(C270="RB",0.58,IF(C270="WR",0.52,IF(C270="TE",0.50,IF(C270="K",0.55,0.40))))))</x:f>
        <x:v>2.4243668344370866</x:v>
      </x:c>
      <x:c r="AY270" s="22" t="n">
        <x:f>AW270*IF(C270="QB",1.32,IF(C270="RB",1.45,IF(C270="WR",1.55,IF(C270="TE",1.60,IF(C270="K",1.45,1.65)))))</x:f>
        <x:v>7.757973870198677</x:v>
      </x:c>
      <x:c r="AZ270" s="12" t="str">
        <x:v>Moderate</x:v>
      </x:c>
      <x:c r="BA270" s="12" t="n">
        <x:v>5</x:v>
      </x:c>
      <x:c r="BB270" s="12" t="n">
        <x:f>COUNTIFS($C$2:$C$344,C270,$AW$2:$AW$344,"&gt;"&amp;AW270,$G$2:$G$344,"&gt;0")+COUNTIFS($C$2:C270,C270,$AW$2:AW270,AW270,$G$2:G270,"&gt;0")</x:f>
        <x:v>29</x:v>
      </x:c>
      <x:c r="BC270" s="12" t="n">
        <x:v>29</x:v>
      </x:c>
      <x:c r="BD270" s="12" t="str">
        <x:f>IF(BB270&lt;BC270,"↑",IF(BB270&gt;BC270,"↓","→"))</x:f>
        <x:v>→</x:v>
      </x:c>
      <x:c r="BE270" s="23" t="str">
        <x:v>Fantasy Football Brief ROS baseline; official NFL schedule</x:v>
      </x:c>
      <x:c r="BF270" s="23" t="str">
        <x:v>Current role and availability baseline; all adjustment factors shown numerically</x:v>
      </x:c>
      <x:c r="BG270" s="23" t="str">
        <x:v>Material injury, depth-chart, or role change</x:v>
      </x:c>
      <x:c r="BH270" s="24" t="str">
        <x:v>2026-09-23 10:35 CT</x:v>
      </x:c>
    </x:row>
    <x:row r="271">
      <x:c r="A271" s="12" t="str">
        <x:v>Charlie Kolar</x:v>
      </x:c>
      <x:c r="B271" s="12" t="str">
        <x:v>LAC</x:v>
      </x:c>
      <x:c r="C271" s="12" t="str">
        <x:v>TE</x:v>
      </x:c>
      <x:c r="D271" s="12" t="str">
        <x:v>BUF</x:v>
      </x:c>
      <x:c r="E271" s="12" t="str">
        <x:v>Away</x:v>
      </x:c>
      <x:c r="F271" s="12" t="str">
        <x:v>2026-09-27</x:v>
      </x:c>
      <x:c r="G271" s="19" t="n">
        <x:v>1</x:v>
      </x:c>
      <x:c r="H271" s="20" t="str">
        <x:v>ACTIVE</x:v>
      </x:c>
      <x:c r="I271" s="20" t="n">
        <x:v>44</x:v>
      </x:c>
      <x:c r="J271" s="20" t="str">
        <x:v>Routes</x:v>
      </x:c>
      <x:c r="K271" s="20" t="n">
        <x:v>16.225165562913908</x:v>
      </x:c>
      <x:c r="L271" s="21" t="n">
        <x:v>0</x:v>
      </x:c>
      <x:c r="M271" s="21" t="n">
        <x:v>0</x:v>
      </x:c>
      <x:c r="N271" s="21" t="n">
        <x:v>0</x:v>
      </x:c>
      <x:c r="O271" s="21" t="n">
        <x:v>0</x:v>
      </x:c>
      <x:c r="P271" s="21" t="n">
        <x:v>0</x:v>
      </x:c>
      <x:c r="Q271" s="21" t="n">
        <x:v>0</x:v>
      </x:c>
      <x:c r="R271" s="21" t="n">
        <x:v>0</x:v>
      </x:c>
      <x:c r="S271" s="21" t="n">
        <x:v>0</x:v>
      </x:c>
      <x:c r="T271" s="21" t="n">
        <x:v>0</x:v>
      </x:c>
      <x:c r="U271" s="21" t="n">
        <x:v>0</x:v>
      </x:c>
      <x:c r="V271" s="21" t="n">
        <x:v>0</x:v>
      </x:c>
      <x:c r="W271" s="21" t="n">
        <x:v>3.245033112582782</x:v>
      </x:c>
      <x:c r="X271" s="21" t="n">
        <x:v>2.2715231788079473</x:v>
      </x:c>
      <x:c r="Y271" s="21" t="n">
        <x:v>25.171072847682126</x:v>
      </x:c>
      <x:c r="Z271" s="21" t="n">
        <x:v>0.18878304635761592</x:v>
      </x:c>
      <x:c r="AA271" s="21" t="n">
        <x:v>16.225165562913908</x:v>
      </x:c>
      <x:c r="AB271" s="21" t="n">
        <x:v>0.68</x:v>
      </x:c>
      <x:c r="AC271" s="21" t="n">
        <x:v>0</x:v>
      </x:c>
      <x:c r="AD271" s="21" t="n">
        <x:v>0</x:v>
      </x:c>
      <x:c r="AE271" s="21" t="n">
        <x:v>0</x:v>
      </x:c>
      <x:c r="AF271" s="21" t="n">
        <x:v>0</x:v>
      </x:c>
      <x:c r="AG271" s="21" t="n">
        <x:v>0</x:v>
      </x:c>
      <x:c r="AH271" s="21" t="n">
        <x:v>0</x:v>
      </x:c>
      <x:c r="AI271" s="21" t="n">
        <x:v>0</x:v>
      </x:c>
      <x:c r="AJ271" s="21" t="n">
        <x:v>0</x:v>
      </x:c>
      <x:c r="AK271" s="21" t="n">
        <x:v>0</x:v>
      </x:c>
      <x:c r="AL271" s="21" t="n">
        <x:v>0</x:v>
      </x:c>
      <x:c r="AM271" s="21" t="n">
        <x:v>1</x:v>
      </x:c>
      <x:c r="AN271" s="21" t="n">
        <x:v>1</x:v>
      </x:c>
      <x:c r="AO271" s="21" t="n">
        <x:v>1</x:v>
      </x:c>
      <x:c r="AP271" s="21" t="n">
        <x:v>1.01</x:v>
      </x:c>
      <x:c r="AQ271" s="21" t="n">
        <x:v>0.96</x:v>
      </x:c>
      <x:c r="AR271" s="21" t="n">
        <x:v>1</x:v>
      </x:c>
      <x:c r="AS271" s="21" t="n">
        <x:v>1</x:v>
      </x:c>
      <x:c r="AT271" s="21" t="n">
        <x:v>1</x:v>
      </x:c>
      <x:c r="AU271" s="21" t="n">
        <x:v>0</x:v>
      </x:c>
      <x:c r="AV271" s="22" t="n">
        <x:f>IF(C271="QB",N271*0.04+O271*4-P271*2+R271*0.1+S271*6,IF(OR(C271="RB",C271="WR",C271="TE"),U271*0.1+V271*6+R271*0.1+S271*6+X271*0.5+Y271*0.1+Z271*6,IF(C271="K",AC271*3+AD271*4+AE271*5+AF271,IF(C271="DST",AG271+AH271*2+AI271*6+AL271,0))))</x:f>
        <x:v>4.785567152317882</x:v>
      </x:c>
      <x:c r="AW271" s="22" t="n">
        <x:f>(AV271+AU271)*G271</x:f>
        <x:v>4.785567152317882</x:v>
      </x:c>
      <x:c r="AX271" s="22" t="n">
        <x:f>MAX(0,AW271*IF(C271="QB",0.68,IF(C271="RB",0.58,IF(C271="WR",0.52,IF(C271="TE",0.50,IF(C271="K",0.55,0.40))))))</x:f>
        <x:v>2.392783576158941</x:v>
      </x:c>
      <x:c r="AY271" s="22" t="n">
        <x:f>AW271*IF(C271="QB",1.32,IF(C271="RB",1.45,IF(C271="WR",1.55,IF(C271="TE",1.60,IF(C271="K",1.45,1.65)))))</x:f>
        <x:v>7.6569074437086115</x:v>
      </x:c>
      <x:c r="AZ271" s="12" t="str">
        <x:v>High</x:v>
      </x:c>
      <x:c r="BA271" s="12" t="n">
        <x:v>5</x:v>
      </x:c>
      <x:c r="BB271" s="12" t="n">
        <x:f>COUNTIFS($C$2:$C$344,C271,$AW$2:$AW$344,"&gt;"&amp;AW271,$G$2:$G$344,"&gt;0")+COUNTIFS($C$2:C271,C271,$AW$2:AW271,AW271,$G$2:G271,"&gt;0")</x:f>
        <x:v>30</x:v>
      </x:c>
      <x:c r="BC271" s="12" t="n">
        <x:v>30</x:v>
      </x:c>
      <x:c r="BD271" s="12" t="str">
        <x:f>IF(BB271&lt;BC271,"↑",IF(BB271&gt;BC271,"↓","→"))</x:f>
        <x:v>→</x:v>
      </x:c>
      <x:c r="BE271" s="23" t="str">
        <x:v>Fantasy Football Brief ROS baseline; official NFL schedule</x:v>
      </x:c>
      <x:c r="BF271" s="23" t="str">
        <x:v>Current role and availability baseline; all adjustment factors shown numerically</x:v>
      </x:c>
      <x:c r="BG271" s="23" t="str">
        <x:v>Material injury, depth-chart, or role change</x:v>
      </x:c>
      <x:c r="BH271" s="24" t="str">
        <x:v>2026-09-23 10:35 CT</x:v>
      </x:c>
    </x:row>
    <x:row r="272">
      <x:c r="A272" s="12" t="str">
        <x:v>David Njoku</x:v>
      </x:c>
      <x:c r="B272" s="12" t="str">
        <x:v>LAC</x:v>
      </x:c>
      <x:c r="C272" s="12" t="str">
        <x:v>TE</x:v>
      </x:c>
      <x:c r="D272" s="12" t="str">
        <x:v>BUF</x:v>
      </x:c>
      <x:c r="E272" s="12" t="str">
        <x:v>Away</x:v>
      </x:c>
      <x:c r="F272" s="12" t="str">
        <x:v>2026-09-27</x:v>
      </x:c>
      <x:c r="G272" s="19" t="n">
        <x:v>1</x:v>
      </x:c>
      <x:c r="H272" s="20" t="str">
        <x:v>ACTIVE</x:v>
      </x:c>
      <x:c r="I272" s="20" t="n">
        <x:v>44</x:v>
      </x:c>
      <x:c r="J272" s="20" t="str">
        <x:v>Routes</x:v>
      </x:c>
      <x:c r="K272" s="20" t="n">
        <x:v>16.225165562913908</x:v>
      </x:c>
      <x:c r="L272" s="21" t="n">
        <x:v>0</x:v>
      </x:c>
      <x:c r="M272" s="21" t="n">
        <x:v>0</x:v>
      </x:c>
      <x:c r="N272" s="21" t="n">
        <x:v>0</x:v>
      </x:c>
      <x:c r="O272" s="21" t="n">
        <x:v>0</x:v>
      </x:c>
      <x:c r="P272" s="21" t="n">
        <x:v>0</x:v>
      </x:c>
      <x:c r="Q272" s="21" t="n">
        <x:v>0</x:v>
      </x:c>
      <x:c r="R272" s="21" t="n">
        <x:v>0</x:v>
      </x:c>
      <x:c r="S272" s="21" t="n">
        <x:v>0</x:v>
      </x:c>
      <x:c r="T272" s="21" t="n">
        <x:v>0</x:v>
      </x:c>
      <x:c r="U272" s="21" t="n">
        <x:v>0</x:v>
      </x:c>
      <x:c r="V272" s="21" t="n">
        <x:v>0</x:v>
      </x:c>
      <x:c r="W272" s="21" t="n">
        <x:v>3.245033112582782</x:v>
      </x:c>
      <x:c r="X272" s="21" t="n">
        <x:v>2.2715231788079473</x:v>
      </x:c>
      <x:c r="Y272" s="21" t="n">
        <x:v>25.171072847682126</x:v>
      </x:c>
      <x:c r="Z272" s="21" t="n">
        <x:v>0.18878304635761592</x:v>
      </x:c>
      <x:c r="AA272" s="21" t="n">
        <x:v>16.225165562913908</x:v>
      </x:c>
      <x:c r="AB272" s="21" t="n">
        <x:v>0.68</x:v>
      </x:c>
      <x:c r="AC272" s="21" t="n">
        <x:v>0</x:v>
      </x:c>
      <x:c r="AD272" s="21" t="n">
        <x:v>0</x:v>
      </x:c>
      <x:c r="AE272" s="21" t="n">
        <x:v>0</x:v>
      </x:c>
      <x:c r="AF272" s="21" t="n">
        <x:v>0</x:v>
      </x:c>
      <x:c r="AG272" s="21" t="n">
        <x:v>0</x:v>
      </x:c>
      <x:c r="AH272" s="21" t="n">
        <x:v>0</x:v>
      </x:c>
      <x:c r="AI272" s="21" t="n">
        <x:v>0</x:v>
      </x:c>
      <x:c r="AJ272" s="21" t="n">
        <x:v>0</x:v>
      </x:c>
      <x:c r="AK272" s="21" t="n">
        <x:v>0</x:v>
      </x:c>
      <x:c r="AL272" s="21" t="n">
        <x:v>0</x:v>
      </x:c>
      <x:c r="AM272" s="21" t="n">
        <x:v>1</x:v>
      </x:c>
      <x:c r="AN272" s="21" t="n">
        <x:v>1</x:v>
      </x:c>
      <x:c r="AO272" s="21" t="n">
        <x:v>1</x:v>
      </x:c>
      <x:c r="AP272" s="21" t="n">
        <x:v>1.01</x:v>
      </x:c>
      <x:c r="AQ272" s="21" t="n">
        <x:v>0.96</x:v>
      </x:c>
      <x:c r="AR272" s="21" t="n">
        <x:v>1</x:v>
      </x:c>
      <x:c r="AS272" s="21" t="n">
        <x:v>1</x:v>
      </x:c>
      <x:c r="AT272" s="21" t="n">
        <x:v>1</x:v>
      </x:c>
      <x:c r="AU272" s="21" t="n">
        <x:v>0</x:v>
      </x:c>
      <x:c r="AV272" s="22" t="n">
        <x:f>IF(C272="QB",N272*0.04+O272*4-P272*2+R272*0.1+S272*6,IF(OR(C272="RB",C272="WR",C272="TE"),U272*0.1+V272*6+R272*0.1+S272*6+X272*0.5+Y272*0.1+Z272*6,IF(C272="K",AC272*3+AD272*4+AE272*5+AF272,IF(C272="DST",AG272+AH272*2+AI272*6+AL272,0))))</x:f>
        <x:v>4.785567152317882</x:v>
      </x:c>
      <x:c r="AW272" s="22" t="n">
        <x:f>(AV272+AU272)*G272</x:f>
        <x:v>4.785567152317882</x:v>
      </x:c>
      <x:c r="AX272" s="22" t="n">
        <x:f>MAX(0,AW272*IF(C272="QB",0.68,IF(C272="RB",0.58,IF(C272="WR",0.52,IF(C272="TE",0.50,IF(C272="K",0.55,0.40))))))</x:f>
        <x:v>2.392783576158941</x:v>
      </x:c>
      <x:c r="AY272" s="22" t="n">
        <x:f>AW272*IF(C272="QB",1.32,IF(C272="RB",1.45,IF(C272="WR",1.55,IF(C272="TE",1.60,IF(C272="K",1.45,1.65)))))</x:f>
        <x:v>7.6569074437086115</x:v>
      </x:c>
      <x:c r="AZ272" s="12" t="str">
        <x:v>High</x:v>
      </x:c>
      <x:c r="BA272" s="12" t="n">
        <x:v>6</x:v>
      </x:c>
      <x:c r="BB272" s="12" t="n">
        <x:f>COUNTIFS($C$2:$C$344,C272,$AW$2:$AW$344,"&gt;"&amp;AW272,$G$2:$G$344,"&gt;0")+COUNTIFS($C$2:C272,C272,$AW$2:AW272,AW272,$G$2:G272,"&gt;0")</x:f>
        <x:v>31</x:v>
      </x:c>
      <x:c r="BC272" s="12" t="n">
        <x:v>31</x:v>
      </x:c>
      <x:c r="BD272" s="12" t="str">
        <x:f>IF(BB272&lt;BC272,"↑",IF(BB272&gt;BC272,"↓","→"))</x:f>
        <x:v>→</x:v>
      </x:c>
      <x:c r="BE272" s="23" t="str">
        <x:v>Fantasy Football Brief ROS baseline; official NFL schedule</x:v>
      </x:c>
      <x:c r="BF272" s="23" t="str">
        <x:v>Current role and availability baseline; all adjustment factors shown numerically</x:v>
      </x:c>
      <x:c r="BG272" s="23" t="str">
        <x:v>Material injury, depth-chart, or role change</x:v>
      </x:c>
      <x:c r="BH272" s="24" t="str">
        <x:v>2026-09-23 10:35 CT</x:v>
      </x:c>
    </x:row>
    <x:row r="273">
      <x:c r="A273" s="12" t="str">
        <x:v>Oronde Gadsden II</x:v>
      </x:c>
      <x:c r="B273" s="12" t="str">
        <x:v>LAC</x:v>
      </x:c>
      <x:c r="C273" s="12" t="str">
        <x:v>TE</x:v>
      </x:c>
      <x:c r="D273" s="12" t="str">
        <x:v>BUF</x:v>
      </x:c>
      <x:c r="E273" s="12" t="str">
        <x:v>Away</x:v>
      </x:c>
      <x:c r="F273" s="12" t="str">
        <x:v>2026-09-27</x:v>
      </x:c>
      <x:c r="G273" s="19" t="n">
        <x:v>1</x:v>
      </x:c>
      <x:c r="H273" s="20" t="str">
        <x:v>ACTIVE</x:v>
      </x:c>
      <x:c r="I273" s="20" t="n">
        <x:v>44</x:v>
      </x:c>
      <x:c r="J273" s="20" t="str">
        <x:v>Routes</x:v>
      </x:c>
      <x:c r="K273" s="20" t="n">
        <x:v>15.894039735099339</x:v>
      </x:c>
      <x:c r="L273" s="21" t="n">
        <x:v>0</x:v>
      </x:c>
      <x:c r="M273" s="21" t="n">
        <x:v>0</x:v>
      </x:c>
      <x:c r="N273" s="21" t="n">
        <x:v>0</x:v>
      </x:c>
      <x:c r="O273" s="21" t="n">
        <x:v>0</x:v>
      </x:c>
      <x:c r="P273" s="21" t="n">
        <x:v>0</x:v>
      </x:c>
      <x:c r="Q273" s="21" t="n">
        <x:v>0</x:v>
      </x:c>
      <x:c r="R273" s="21" t="n">
        <x:v>0</x:v>
      </x:c>
      <x:c r="S273" s="21" t="n">
        <x:v>0</x:v>
      </x:c>
      <x:c r="T273" s="21" t="n">
        <x:v>0</x:v>
      </x:c>
      <x:c r="U273" s="21" t="n">
        <x:v>0</x:v>
      </x:c>
      <x:c r="V273" s="21" t="n">
        <x:v>0</x:v>
      </x:c>
      <x:c r="W273" s="21" t="n">
        <x:v>3.178807947019868</x:v>
      </x:c>
      <x:c r="X273" s="21" t="n">
        <x:v>2.2251655629139075</x:v>
      </x:c>
      <x:c r="Y273" s="21" t="n">
        <x:v>24.65737748344371</x:v>
      </x:c>
      <x:c r="Z273" s="21" t="n">
        <x:v>0.18493033112582782</x:v>
      </x:c>
      <x:c r="AA273" s="21" t="n">
        <x:v>15.894039735099339</x:v>
      </x:c>
      <x:c r="AB273" s="21" t="n">
        <x:v>0.68</x:v>
      </x:c>
      <x:c r="AC273" s="21" t="n">
        <x:v>0</x:v>
      </x:c>
      <x:c r="AD273" s="21" t="n">
        <x:v>0</x:v>
      </x:c>
      <x:c r="AE273" s="21" t="n">
        <x:v>0</x:v>
      </x:c>
      <x:c r="AF273" s="21" t="n">
        <x:v>0</x:v>
      </x:c>
      <x:c r="AG273" s="21" t="n">
        <x:v>0</x:v>
      </x:c>
      <x:c r="AH273" s="21" t="n">
        <x:v>0</x:v>
      </x:c>
      <x:c r="AI273" s="21" t="n">
        <x:v>0</x:v>
      </x:c>
      <x:c r="AJ273" s="21" t="n">
        <x:v>0</x:v>
      </x:c>
      <x:c r="AK273" s="21" t="n">
        <x:v>0</x:v>
      </x:c>
      <x:c r="AL273" s="21" t="n">
        <x:v>0</x:v>
      </x:c>
      <x:c r="AM273" s="21" t="n">
        <x:v>1</x:v>
      </x:c>
      <x:c r="AN273" s="21" t="n">
        <x:v>1</x:v>
      </x:c>
      <x:c r="AO273" s="21" t="n">
        <x:v>1</x:v>
      </x:c>
      <x:c r="AP273" s="21" t="n">
        <x:v>1.01</x:v>
      </x:c>
      <x:c r="AQ273" s="21" t="n">
        <x:v>0.96</x:v>
      </x:c>
      <x:c r="AR273" s="21" t="n">
        <x:v>1</x:v>
      </x:c>
      <x:c r="AS273" s="21" t="n">
        <x:v>1</x:v>
      </x:c>
      <x:c r="AT273" s="21" t="n">
        <x:v>1</x:v>
      </x:c>
      <x:c r="AU273" s="21" t="n">
        <x:v>0</x:v>
      </x:c>
      <x:c r="AV273" s="22" t="n">
        <x:f>IF(C273="QB",N273*0.04+O273*4-P273*2+R273*0.1+S273*6,IF(OR(C273="RB",C273="WR",C273="TE"),U273*0.1+V273*6+R273*0.1+S273*6+X273*0.5+Y273*0.1+Z273*6,IF(C273="K",AC273*3+AD273*4+AE273*5+AF273,IF(C273="DST",AG273+AH273*2+AI273*6+AL273,0))))</x:f>
        <x:v>4.687902516556292</x:v>
      </x:c>
      <x:c r="AW273" s="22" t="n">
        <x:f>(AV273+AU273)*G273</x:f>
        <x:v>4.687902516556292</x:v>
      </x:c>
      <x:c r="AX273" s="22" t="n">
        <x:f>MAX(0,AW273*IF(C273="QB",0.68,IF(C273="RB",0.58,IF(C273="WR",0.52,IF(C273="TE",0.50,IF(C273="K",0.55,0.40))))))</x:f>
        <x:v>2.343951258278146</x:v>
      </x:c>
      <x:c r="AY273" s="22" t="n">
        <x:f>AW273*IF(C273="QB",1.32,IF(C273="RB",1.45,IF(C273="WR",1.55,IF(C273="TE",1.60,IF(C273="K",1.45,1.65)))))</x:f>
        <x:v>7.500644026490068</x:v>
      </x:c>
      <x:c r="AZ273" s="12" t="str">
        <x:v>High</x:v>
      </x:c>
      <x:c r="BA273" s="12" t="n">
        <x:v>6</x:v>
      </x:c>
      <x:c r="BB273" s="12" t="n">
        <x:f>COUNTIFS($C$2:$C$344,C273,$AW$2:$AW$344,"&gt;"&amp;AW273,$G$2:$G$344,"&gt;0")+COUNTIFS($C$2:C273,C273,$AW$2:AW273,AW273,$G$2:G273,"&gt;0")</x:f>
        <x:v>32</x:v>
      </x:c>
      <x:c r="BC273" s="12" t="n">
        <x:v>32</x:v>
      </x:c>
      <x:c r="BD273" s="12" t="str">
        <x:f>IF(BB273&lt;BC273,"↑",IF(BB273&gt;BC273,"↓","→"))</x:f>
        <x:v>→</x:v>
      </x:c>
      <x:c r="BE273" s="23" t="str">
        <x:v>Fantasy Football Brief ROS baseline; official NFL schedule</x:v>
      </x:c>
      <x:c r="BF273" s="23" t="str">
        <x:v>Current role and availability baseline; all adjustment factors shown numerically</x:v>
      </x:c>
      <x:c r="BG273" s="23" t="str">
        <x:v>Material injury, depth-chart, or role change</x:v>
      </x:c>
      <x:c r="BH273" s="24" t="str">
        <x:v>2026-09-23 10:35 CT</x:v>
      </x:c>
    </x:row>
    <x:row r="274">
      <x:c r="A274" s="12" t="str">
        <x:v>Mike Gesicki</x:v>
      </x:c>
      <x:c r="B274" s="12" t="str">
        <x:v>CIN</x:v>
      </x:c>
      <x:c r="C274" s="12" t="str">
        <x:v>TE</x:v>
      </x:c>
      <x:c r="D274" s="12" t="str">
        <x:v>PIT</x:v>
      </x:c>
      <x:c r="E274" s="12" t="str">
        <x:v>Away</x:v>
      </x:c>
      <x:c r="F274" s="12" t="str">
        <x:v>2026-09-27</x:v>
      </x:c>
      <x:c r="G274" s="19" t="n">
        <x:v>1</x:v>
      </x:c>
      <x:c r="H274" s="20" t="str">
        <x:v>ACTIVE</x:v>
      </x:c>
      <x:c r="I274" s="20" t="n">
        <x:v>44</x:v>
      </x:c>
      <x:c r="J274" s="20" t="str">
        <x:v>Routes</x:v>
      </x:c>
      <x:c r="K274" s="20" t="n">
        <x:v>14.90066225165563</x:v>
      </x:c>
      <x:c r="L274" s="21" t="n">
        <x:v>0</x:v>
      </x:c>
      <x:c r="M274" s="21" t="n">
        <x:v>0</x:v>
      </x:c>
      <x:c r="N274" s="21" t="n">
        <x:v>0</x:v>
      </x:c>
      <x:c r="O274" s="21" t="n">
        <x:v>0</x:v>
      </x:c>
      <x:c r="P274" s="21" t="n">
        <x:v>0</x:v>
      </x:c>
      <x:c r="Q274" s="21" t="n">
        <x:v>0</x:v>
      </x:c>
      <x:c r="R274" s="21" t="n">
        <x:v>0</x:v>
      </x:c>
      <x:c r="S274" s="21" t="n">
        <x:v>0</x:v>
      </x:c>
      <x:c r="T274" s="21" t="n">
        <x:v>0</x:v>
      </x:c>
      <x:c r="U274" s="21" t="n">
        <x:v>0</x:v>
      </x:c>
      <x:c r="V274" s="21" t="n">
        <x:v>0</x:v>
      </x:c>
      <x:c r="W274" s="21" t="n">
        <x:v>2.980132450331126</x:v>
      </x:c>
      <x:c r="X274" s="21" t="n">
        <x:v>2.0860927152317883</x:v>
      </x:c>
      <x:c r="Y274" s="21" t="n">
        <x:v>23.35708609271523</x:v>
      </x:c>
      <x:c r="Z274" s="21" t="n">
        <x:v>0.17517814569536425</x:v>
      </x:c>
      <x:c r="AA274" s="21" t="n">
        <x:v>14.90066225165563</x:v>
      </x:c>
      <x:c r="AB274" s="21" t="n">
        <x:v>0.68</x:v>
      </x:c>
      <x:c r="AC274" s="21" t="n">
        <x:v>0</x:v>
      </x:c>
      <x:c r="AD274" s="21" t="n">
        <x:v>0</x:v>
      </x:c>
      <x:c r="AE274" s="21" t="n">
        <x:v>0</x:v>
      </x:c>
      <x:c r="AF274" s="21" t="n">
        <x:v>0</x:v>
      </x:c>
      <x:c r="AG274" s="21" t="n">
        <x:v>0</x:v>
      </x:c>
      <x:c r="AH274" s="21" t="n">
        <x:v>0</x:v>
      </x:c>
      <x:c r="AI274" s="21" t="n">
        <x:v>0</x:v>
      </x:c>
      <x:c r="AJ274" s="21" t="n">
        <x:v>0</x:v>
      </x:c>
      <x:c r="AK274" s="21" t="n">
        <x:v>0</x:v>
      </x:c>
      <x:c r="AL274" s="21" t="n">
        <x:v>0</x:v>
      </x:c>
      <x:c r="AM274" s="21" t="n">
        <x:v>1</x:v>
      </x:c>
      <x:c r="AN274" s="21" t="n">
        <x:v>1</x:v>
      </x:c>
      <x:c r="AO274" s="21" t="n">
        <x:v>1</x:v>
      </x:c>
      <x:c r="AP274" s="21" t="n">
        <x:v>1.01</x:v>
      </x:c>
      <x:c r="AQ274" s="21" t="n">
        <x:v>0.97</x:v>
      </x:c>
      <x:c r="AR274" s="21" t="n">
        <x:v>1</x:v>
      </x:c>
      <x:c r="AS274" s="21" t="n">
        <x:v>1</x:v>
      </x:c>
      <x:c r="AT274" s="21" t="n">
        <x:v>1</x:v>
      </x:c>
      <x:c r="AU274" s="21" t="n">
        <x:v>0</x:v>
      </x:c>
      <x:c r="AV274" s="22" t="n">
        <x:f>IF(C274="QB",N274*0.04+O274*4-P274*2+R274*0.1+S274*6,IF(OR(C274="RB",C274="WR",C274="TE"),U274*0.1+V274*6+R274*0.1+S274*6+X274*0.5+Y274*0.1+Z274*6,IF(C274="K",AC274*3+AD274*4+AE274*5+AF274,IF(C274="DST",AG274+AH274*2+AI274*6+AL274,0))))</x:f>
        <x:v>4.429823841059603</x:v>
      </x:c>
      <x:c r="AW274" s="22" t="n">
        <x:f>(AV274+AU274)*G274</x:f>
        <x:v>4.429823841059603</x:v>
      </x:c>
      <x:c r="AX274" s="22" t="n">
        <x:f>MAX(0,AW274*IF(C274="QB",0.68,IF(C274="RB",0.58,IF(C274="WR",0.52,IF(C274="TE",0.50,IF(C274="K",0.55,0.40))))))</x:f>
        <x:v>2.2149119205298016</x:v>
      </x:c>
      <x:c r="AY274" s="22" t="n">
        <x:f>AW274*IF(C274="QB",1.32,IF(C274="RB",1.45,IF(C274="WR",1.55,IF(C274="TE",1.60,IF(C274="K",1.45,1.65)))))</x:f>
        <x:v>7.087718145695366</x:v>
      </x:c>
      <x:c r="AZ274" s="12" t="str">
        <x:v>High</x:v>
      </x:c>
      <x:c r="BA274" s="12" t="n">
        <x:v>6</x:v>
      </x:c>
      <x:c r="BB274" s="12" t="n">
        <x:f>COUNTIFS($C$2:$C$344,C274,$AW$2:$AW$344,"&gt;"&amp;AW274,$G$2:$G$344,"&gt;0")+COUNTIFS($C$2:C274,C274,$AW$2:AW274,AW274,$G$2:G274,"&gt;0")</x:f>
        <x:v>33</x:v>
      </x:c>
      <x:c r="BC274" s="12" t="n">
        <x:v>33</x:v>
      </x:c>
      <x:c r="BD274" s="12" t="str">
        <x:f>IF(BB274&lt;BC274,"↑",IF(BB274&gt;BC274,"↓","→"))</x:f>
        <x:v>→</x:v>
      </x:c>
      <x:c r="BE274" s="23" t="str">
        <x:v>Fantasy Football Brief ROS baseline; official NFL schedule</x:v>
      </x:c>
      <x:c r="BF274" s="23" t="str">
        <x:v>Current role and availability baseline; all adjustment factors shown numerically</x:v>
      </x:c>
      <x:c r="BG274" s="23" t="str">
        <x:v>Material injury, depth-chart, or role change</x:v>
      </x:c>
      <x:c r="BH274" s="24" t="str">
        <x:v>2026-09-23 10:35 CT</x:v>
      </x:c>
    </x:row>
    <x:row r="275">
      <x:c r="A275" s="12" t="str">
        <x:v>Greg Dulcich</x:v>
      </x:c>
      <x:c r="B275" s="12" t="str">
        <x:v>MIA</x:v>
      </x:c>
      <x:c r="C275" s="12" t="str">
        <x:v>TE</x:v>
      </x:c>
      <x:c r="D275" s="12" t="str">
        <x:v>KC</x:v>
      </x:c>
      <x:c r="E275" s="12" t="str">
        <x:v>Home</x:v>
      </x:c>
      <x:c r="F275" s="12" t="str">
        <x:v>2026-09-27</x:v>
      </x:c>
      <x:c r="G275" s="19" t="n">
        <x:v>1</x:v>
      </x:c>
      <x:c r="H275" s="20" t="str">
        <x:v>ACTIVE</x:v>
      </x:c>
      <x:c r="I275" s="20" t="n">
        <x:v>44</x:v>
      </x:c>
      <x:c r="J275" s="20" t="str">
        <x:v>Routes</x:v>
      </x:c>
      <x:c r="K275" s="20" t="n">
        <x:v>15.56291390728477</x:v>
      </x:c>
      <x:c r="L275" s="21" t="n">
        <x:v>0</x:v>
      </x:c>
      <x:c r="M275" s="21" t="n">
        <x:v>0</x:v>
      </x:c>
      <x:c r="N275" s="21" t="n">
        <x:v>0</x:v>
      </x:c>
      <x:c r="O275" s="21" t="n">
        <x:v>0</x:v>
      </x:c>
      <x:c r="P275" s="21" t="n">
        <x:v>0</x:v>
      </x:c>
      <x:c r="Q275" s="21" t="n">
        <x:v>0</x:v>
      </x:c>
      <x:c r="R275" s="21" t="n">
        <x:v>0</x:v>
      </x:c>
      <x:c r="S275" s="21" t="n">
        <x:v>0</x:v>
      </x:c>
      <x:c r="T275" s="21" t="n">
        <x:v>0</x:v>
      </x:c>
      <x:c r="U275" s="21" t="n">
        <x:v>0</x:v>
      </x:c>
      <x:c r="V275" s="21" t="n">
        <x:v>0</x:v>
      </x:c>
      <x:c r="W275" s="21" t="n">
        <x:v>3.112582781456954</x:v>
      </x:c>
      <x:c r="X275" s="21" t="n">
        <x:v>2.178807947019868</x:v>
      </x:c>
      <x:c r="Y275" s="21" t="n">
        <x:v>22.945960264900666</x:v>
      </x:c>
      <x:c r="Z275" s="21" t="n">
        <x:v>0.172094701986755</x:v>
      </x:c>
      <x:c r="AA275" s="21" t="n">
        <x:v>15.56291390728477</x:v>
      </x:c>
      <x:c r="AB275" s="21" t="n">
        <x:v>0.68</x:v>
      </x:c>
      <x:c r="AC275" s="21" t="n">
        <x:v>0</x:v>
      </x:c>
      <x:c r="AD275" s="21" t="n">
        <x:v>0</x:v>
      </x:c>
      <x:c r="AE275" s="21" t="n">
        <x:v>0</x:v>
      </x:c>
      <x:c r="AF275" s="21" t="n">
        <x:v>0</x:v>
      </x:c>
      <x:c r="AG275" s="21" t="n">
        <x:v>0</x:v>
      </x:c>
      <x:c r="AH275" s="21" t="n">
        <x:v>0</x:v>
      </x:c>
      <x:c r="AI275" s="21" t="n">
        <x:v>0</x:v>
      </x:c>
      <x:c r="AJ275" s="21" t="n">
        <x:v>0</x:v>
      </x:c>
      <x:c r="AK275" s="21" t="n">
        <x:v>0</x:v>
      </x:c>
      <x:c r="AL275" s="21" t="n">
        <x:v>0</x:v>
      </x:c>
      <x:c r="AM275" s="21" t="n">
        <x:v>1</x:v>
      </x:c>
      <x:c r="AN275" s="21" t="n">
        <x:v>1</x:v>
      </x:c>
      <x:c r="AO275" s="21" t="n">
        <x:v>1</x:v>
      </x:c>
      <x:c r="AP275" s="21" t="n">
        <x:v>0.97</x:v>
      </x:c>
      <x:c r="AQ275" s="21" t="n">
        <x:v>0.95</x:v>
      </x:c>
      <x:c r="AR275" s="21" t="n">
        <x:v>1</x:v>
      </x:c>
      <x:c r="AS275" s="21" t="n">
        <x:v>1</x:v>
      </x:c>
      <x:c r="AT275" s="21" t="n">
        <x:v>1</x:v>
      </x:c>
      <x:c r="AU275" s="21" t="n">
        <x:v>0</x:v>
      </x:c>
      <x:c r="AV275" s="22" t="n">
        <x:f>IF(C275="QB",N275*0.04+O275*4-P275*2+R275*0.1+S275*6,IF(OR(C275="RB",C275="WR",C275="TE"),U275*0.1+V275*6+R275*0.1+S275*6+X275*0.5+Y275*0.1+Z275*6,IF(C275="K",AC275*3+AD275*4+AE275*5+AF275,IF(C275="DST",AG275+AH275*2+AI275*6+AL275,0))))</x:f>
        <x:v>4.416568211920531</x:v>
      </x:c>
      <x:c r="AW275" s="22" t="n">
        <x:f>(AV275+AU275)*G275</x:f>
        <x:v>4.416568211920531</x:v>
      </x:c>
      <x:c r="AX275" s="22" t="n">
        <x:f>MAX(0,AW275*IF(C275="QB",0.68,IF(C275="RB",0.58,IF(C275="WR",0.52,IF(C275="TE",0.50,IF(C275="K",0.55,0.40))))))</x:f>
        <x:v>2.2082841059602654</x:v>
      </x:c>
      <x:c r="AY275" s="22" t="n">
        <x:f>AW275*IF(C275="QB",1.32,IF(C275="RB",1.45,IF(C275="WR",1.55,IF(C275="TE",1.60,IF(C275="K",1.45,1.65)))))</x:f>
        <x:v>7.066509139072849</x:v>
      </x:c>
      <x:c r="AZ275" s="12" t="str">
        <x:v>High</x:v>
      </x:c>
      <x:c r="BA275" s="12" t="n">
        <x:v>6</x:v>
      </x:c>
      <x:c r="BB275" s="12" t="n">
        <x:f>COUNTIFS($C$2:$C$344,C275,$AW$2:$AW$344,"&gt;"&amp;AW275,$G$2:$G$344,"&gt;0")+COUNTIFS($C$2:C275,C275,$AW$2:AW275,AW275,$G$2:G275,"&gt;0")</x:f>
        <x:v>34</x:v>
      </x:c>
      <x:c r="BC275" s="12" t="n">
        <x:v>34</x:v>
      </x:c>
      <x:c r="BD275" s="12" t="str">
        <x:f>IF(BB275&lt;BC275,"↑",IF(BB275&gt;BC275,"↓","→"))</x:f>
        <x:v>→</x:v>
      </x:c>
      <x:c r="BE275" s="23" t="str">
        <x:v>Fantasy Football Brief ROS baseline; official NFL schedule</x:v>
      </x:c>
      <x:c r="BF275" s="23" t="str">
        <x:v>Current role and availability baseline; all adjustment factors shown numerically</x:v>
      </x:c>
      <x:c r="BG275" s="23" t="str">
        <x:v>Material injury, depth-chart, or role change</x:v>
      </x:c>
      <x:c r="BH275" s="24" t="str">
        <x:v>2026-09-23 10:35 CT</x:v>
      </x:c>
    </x:row>
    <x:row r="276">
      <x:c r="A276" s="12" t="str">
        <x:v>Darren Waller</x:v>
      </x:c>
      <x:c r="B276" s="12" t="str">
        <x:v>CAR</x:v>
      </x:c>
      <x:c r="C276" s="12" t="str">
        <x:v>TE</x:v>
      </x:c>
      <x:c r="D276" s="12" t="str">
        <x:v>CLE</x:v>
      </x:c>
      <x:c r="E276" s="12" t="str">
        <x:v>Away</x:v>
      </x:c>
      <x:c r="F276" s="12" t="str">
        <x:v>2026-09-27</x:v>
      </x:c>
      <x:c r="G276" s="19" t="n">
        <x:v>1</x:v>
      </x:c>
      <x:c r="H276" s="20" t="str">
        <x:v>ACTIVE</x:v>
      </x:c>
      <x:c r="I276" s="20" t="n">
        <x:v>44</x:v>
      </x:c>
      <x:c r="J276" s="20" t="str">
        <x:v>Routes</x:v>
      </x:c>
      <x:c r="K276" s="20" t="n">
        <x:v>14.569536423841061</x:v>
      </x:c>
      <x:c r="L276" s="21" t="n">
        <x:v>0</x:v>
      </x:c>
      <x:c r="M276" s="21" t="n">
        <x:v>0</x:v>
      </x:c>
      <x:c r="N276" s="21" t="n">
        <x:v>0</x:v>
      </x:c>
      <x:c r="O276" s="21" t="n">
        <x:v>0</x:v>
      </x:c>
      <x:c r="P276" s="21" t="n">
        <x:v>0</x:v>
      </x:c>
      <x:c r="Q276" s="21" t="n">
        <x:v>0</x:v>
      </x:c>
      <x:c r="R276" s="21" t="n">
        <x:v>0</x:v>
      </x:c>
      <x:c r="S276" s="21" t="n">
        <x:v>0</x:v>
      </x:c>
      <x:c r="T276" s="21" t="n">
        <x:v>0</x:v>
      </x:c>
      <x:c r="U276" s="21" t="n">
        <x:v>0</x:v>
      </x:c>
      <x:c r="V276" s="21" t="n">
        <x:v>0</x:v>
      </x:c>
      <x:c r="W276" s="21" t="n">
        <x:v>2.9139072847682126</x:v>
      </x:c>
      <x:c r="X276" s="21" t="n">
        <x:v>2.0397350993377485</x:v>
      </x:c>
      <x:c r="Y276" s="21" t="n">
        <x:v>21.702781456953645</x:v>
      </x:c>
      <x:c r="Z276" s="21" t="n">
        <x:v>0.16277086092715232</x:v>
      </x:c>
      <x:c r="AA276" s="21" t="n">
        <x:v>14.569536423841061</x:v>
      </x:c>
      <x:c r="AB276" s="21" t="n">
        <x:v>0.68</x:v>
      </x:c>
      <x:c r="AC276" s="21" t="n">
        <x:v>0</x:v>
      </x:c>
      <x:c r="AD276" s="21" t="n">
        <x:v>0</x:v>
      </x:c>
      <x:c r="AE276" s="21" t="n">
        <x:v>0</x:v>
      </x:c>
      <x:c r="AF276" s="21" t="n">
        <x:v>0</x:v>
      </x:c>
      <x:c r="AG276" s="21" t="n">
        <x:v>0</x:v>
      </x:c>
      <x:c r="AH276" s="21" t="n">
        <x:v>0</x:v>
      </x:c>
      <x:c r="AI276" s="21" t="n">
        <x:v>0</x:v>
      </x:c>
      <x:c r="AJ276" s="21" t="n">
        <x:v>0</x:v>
      </x:c>
      <x:c r="AK276" s="21" t="n">
        <x:v>0</x:v>
      </x:c>
      <x:c r="AL276" s="21" t="n">
        <x:v>0</x:v>
      </x:c>
      <x:c r="AM276" s="21" t="n">
        <x:v>1</x:v>
      </x:c>
      <x:c r="AN276" s="21" t="n">
        <x:v>1</x:v>
      </x:c>
      <x:c r="AO276" s="21" t="n">
        <x:v>1</x:v>
      </x:c>
      <x:c r="AP276" s="21" t="n">
        <x:v>0.98</x:v>
      </x:c>
      <x:c r="AQ276" s="21" t="n">
        <x:v>0.95</x:v>
      </x:c>
      <x:c r="AR276" s="21" t="n">
        <x:v>1</x:v>
      </x:c>
      <x:c r="AS276" s="21" t="n">
        <x:v>1</x:v>
      </x:c>
      <x:c r="AT276" s="21" t="n">
        <x:v>1</x:v>
      </x:c>
      <x:c r="AU276" s="21" t="n">
        <x:v>0</x:v>
      </x:c>
      <x:c r="AV276" s="22" t="n">
        <x:f>IF(C276="QB",N276*0.04+O276*4-P276*2+R276*0.1+S276*6,IF(OR(C276="RB",C276="WR",C276="TE"),U276*0.1+V276*6+R276*0.1+S276*6+X276*0.5+Y276*0.1+Z276*6,IF(C276="K",AC276*3+AD276*4+AE276*5+AF276,IF(C276="DST",AG276+AH276*2+AI276*6+AL276,0))))</x:f>
        <x:v>4.166770860927152</x:v>
      </x:c>
      <x:c r="AW276" s="22" t="n">
        <x:f>(AV276+AU276)*G276</x:f>
        <x:v>4.166770860927152</x:v>
      </x:c>
      <x:c r="AX276" s="22" t="n">
        <x:f>MAX(0,AW276*IF(C276="QB",0.68,IF(C276="RB",0.58,IF(C276="WR",0.52,IF(C276="TE",0.50,IF(C276="K",0.55,0.40))))))</x:f>
        <x:v>2.083385430463576</x:v>
      </x:c>
      <x:c r="AY276" s="22" t="n">
        <x:f>AW276*IF(C276="QB",1.32,IF(C276="RB",1.45,IF(C276="WR",1.55,IF(C276="TE",1.60,IF(C276="K",1.45,1.65)))))</x:f>
        <x:v>6.666833377483444</x:v>
      </x:c>
      <x:c r="AZ276" s="12" t="str">
        <x:v>High</x:v>
      </x:c>
      <x:c r="BA276" s="12" t="n">
        <x:v>6</x:v>
      </x:c>
      <x:c r="BB276" s="12" t="n">
        <x:f>COUNTIFS($C$2:$C$344,C276,$AW$2:$AW$344,"&gt;"&amp;AW276,$G$2:$G$344,"&gt;0")+COUNTIFS($C$2:C276,C276,$AW$2:AW276,AW276,$G$2:G276,"&gt;0")</x:f>
        <x:v>35</x:v>
      </x:c>
      <x:c r="BC276" s="12" t="n">
        <x:v>35</x:v>
      </x:c>
      <x:c r="BD276" s="12" t="str">
        <x:f>IF(BB276&lt;BC276,"↑",IF(BB276&gt;BC276,"↓","→"))</x:f>
        <x:v>→</x:v>
      </x:c>
      <x:c r="BE276" s="23" t="str">
        <x:v>Fantasy Football Brief ROS baseline; official NFL schedule</x:v>
      </x:c>
      <x:c r="BF276" s="23" t="str">
        <x:v>Current role and availability baseline; all adjustment factors shown numerically</x:v>
      </x:c>
      <x:c r="BG276" s="23" t="str">
        <x:v>Material injury, depth-chart, or role change</x:v>
      </x:c>
      <x:c r="BH276" s="24" t="str">
        <x:v>2026-09-23 10:35 CT</x:v>
      </x:c>
    </x:row>
    <x:row r="277">
      <x:c r="A277" s="12" t="str">
        <x:v>Colby Parkinson</x:v>
      </x:c>
      <x:c r="B277" s="12" t="str">
        <x:v>LAR</x:v>
      </x:c>
      <x:c r="C277" s="12" t="str">
        <x:v>TE</x:v>
      </x:c>
      <x:c r="D277" s="12" t="str">
        <x:v>DEN</x:v>
      </x:c>
      <x:c r="E277" s="12" t="str">
        <x:v>Away</x:v>
      </x:c>
      <x:c r="F277" s="12" t="str">
        <x:v>2026-09-27</x:v>
      </x:c>
      <x:c r="G277" s="19" t="n">
        <x:v>1</x:v>
      </x:c>
      <x:c r="H277" s="20" t="str">
        <x:v>ACTIVE</x:v>
      </x:c>
      <x:c r="I277" s="20" t="n">
        <x:v>44</x:v>
      </x:c>
      <x:c r="J277" s="20" t="str">
        <x:v>Routes</x:v>
      </x:c>
      <x:c r="K277" s="20" t="n">
        <x:v>14.23841059602649</x:v>
      </x:c>
      <x:c r="L277" s="21" t="n">
        <x:v>0</x:v>
      </x:c>
      <x:c r="M277" s="21" t="n">
        <x:v>0</x:v>
      </x:c>
      <x:c r="N277" s="21" t="n">
        <x:v>0</x:v>
      </x:c>
      <x:c r="O277" s="21" t="n">
        <x:v>0</x:v>
      </x:c>
      <x:c r="P277" s="21" t="n">
        <x:v>0</x:v>
      </x:c>
      <x:c r="Q277" s="21" t="n">
        <x:v>0</x:v>
      </x:c>
      <x:c r="R277" s="21" t="n">
        <x:v>0</x:v>
      </x:c>
      <x:c r="S277" s="21" t="n">
        <x:v>0</x:v>
      </x:c>
      <x:c r="T277" s="21" t="n">
        <x:v>0</x:v>
      </x:c>
      <x:c r="U277" s="21" t="n">
        <x:v>0</x:v>
      </x:c>
      <x:c r="V277" s="21" t="n">
        <x:v>0</x:v>
      </x:c>
      <x:c r="W277" s="21" t="n">
        <x:v>2.847682119205298</x:v>
      </x:c>
      <x:c r="X277" s="21" t="n">
        <x:v>1.9933774834437088</x:v>
      </x:c>
      <x:c r="Y277" s="21" t="n">
        <x:v>21.587708609271523</x:v>
      </x:c>
      <x:c r="Z277" s="21" t="n">
        <x:v>0.16190781456953643</x:v>
      </x:c>
      <x:c r="AA277" s="21" t="n">
        <x:v>14.23841059602649</x:v>
      </x:c>
      <x:c r="AB277" s="21" t="n">
        <x:v>0.68</x:v>
      </x:c>
      <x:c r="AC277" s="21" t="n">
        <x:v>0</x:v>
      </x:c>
      <x:c r="AD277" s="21" t="n">
        <x:v>0</x:v>
      </x:c>
      <x:c r="AE277" s="21" t="n">
        <x:v>0</x:v>
      </x:c>
      <x:c r="AF277" s="21" t="n">
        <x:v>0</x:v>
      </x:c>
      <x:c r="AG277" s="21" t="n">
        <x:v>0</x:v>
      </x:c>
      <x:c r="AH277" s="21" t="n">
        <x:v>0</x:v>
      </x:c>
      <x:c r="AI277" s="21" t="n">
        <x:v>0</x:v>
      </x:c>
      <x:c r="AJ277" s="21" t="n">
        <x:v>0</x:v>
      </x:c>
      <x:c r="AK277" s="21" t="n">
        <x:v>0</x:v>
      </x:c>
      <x:c r="AL277" s="21" t="n">
        <x:v>0</x:v>
      </x:c>
      <x:c r="AM277" s="21" t="n">
        <x:v>1</x:v>
      </x:c>
      <x:c r="AN277" s="21" t="n">
        <x:v>1</x:v>
      </x:c>
      <x:c r="AO277" s="21" t="n">
        <x:v>1</x:v>
      </x:c>
      <x:c r="AP277" s="21" t="n">
        <x:v>1.03</x:v>
      </x:c>
      <x:c r="AQ277" s="21" t="n">
        <x:v>0.92</x:v>
      </x:c>
      <x:c r="AR277" s="21" t="n">
        <x:v>1</x:v>
      </x:c>
      <x:c r="AS277" s="21" t="n">
        <x:v>1</x:v>
      </x:c>
      <x:c r="AT277" s="21" t="n">
        <x:v>1</x:v>
      </x:c>
      <x:c r="AU277" s="21" t="n">
        <x:v>0</x:v>
      </x:c>
      <x:c r="AV277" s="22" t="n">
        <x:f>IF(C277="QB",N277*0.04+O277*4-P277*2+R277*0.1+S277*6,IF(OR(C277="RB",C277="WR",C277="TE"),U277*0.1+V277*6+R277*0.1+S277*6+X277*0.5+Y277*0.1+Z277*6,IF(C277="K",AC277*3+AD277*4+AE277*5+AF277,IF(C277="DST",AG277+AH277*2+AI277*6+AL277,0))))</x:f>
        <x:v>4.126906490066226</x:v>
      </x:c>
      <x:c r="AW277" s="22" t="n">
        <x:f>(AV277+AU277)*G277</x:f>
        <x:v>4.126906490066226</x:v>
      </x:c>
      <x:c r="AX277" s="22" t="n">
        <x:f>MAX(0,AW277*IF(C277="QB",0.68,IF(C277="RB",0.58,IF(C277="WR",0.52,IF(C277="TE",0.50,IF(C277="K",0.55,0.40))))))</x:f>
        <x:v>2.063453245033113</x:v>
      </x:c>
      <x:c r="AY277" s="22" t="n">
        <x:f>AW277*IF(C277="QB",1.32,IF(C277="RB",1.45,IF(C277="WR",1.55,IF(C277="TE",1.60,IF(C277="K",1.45,1.65)))))</x:f>
        <x:v>6.603050384105962</x:v>
      </x:c>
      <x:c r="AZ277" s="12" t="str">
        <x:v>High</x:v>
      </x:c>
      <x:c r="BA277" s="12" t="n">
        <x:v>6</x:v>
      </x:c>
      <x:c r="BB277" s="12" t="n">
        <x:f>COUNTIFS($C$2:$C$344,C277,$AW$2:$AW$344,"&gt;"&amp;AW277,$G$2:$G$344,"&gt;0")+COUNTIFS($C$2:C277,C277,$AW$2:AW277,AW277,$G$2:G277,"&gt;0")</x:f>
        <x:v>36</x:v>
      </x:c>
      <x:c r="BC277" s="12" t="n">
        <x:v>36</x:v>
      </x:c>
      <x:c r="BD277" s="12" t="str">
        <x:f>IF(BB277&lt;BC277,"↑",IF(BB277&gt;BC277,"↓","→"))</x:f>
        <x:v>→</x:v>
      </x:c>
      <x:c r="BE277" s="23" t="str">
        <x:v>Fantasy Football Brief ROS baseline; official NFL schedule</x:v>
      </x:c>
      <x:c r="BF277" s="23" t="str">
        <x:v>Current role and availability baseline; all adjustment factors shown numerically</x:v>
      </x:c>
      <x:c r="BG277" s="23" t="str">
        <x:v>Material injury, depth-chart, or role change</x:v>
      </x:c>
      <x:c r="BH277" s="24" t="str">
        <x:v>2026-09-23 10:35 CT</x:v>
      </x:c>
    </x:row>
    <x:row r="278">
      <x:c r="A278" s="12" t="str">
        <x:v>Dallas Goedert</x:v>
      </x:c>
      <x:c r="B278" s="12" t="str">
        <x:v>PHI</x:v>
      </x:c>
      <x:c r="C278" s="12" t="str">
        <x:v>TE</x:v>
      </x:c>
      <x:c r="D278" s="12" t="str">
        <x:v>CHI</x:v>
      </x:c>
      <x:c r="E278" s="12" t="str">
        <x:v>Away</x:v>
      </x:c>
      <x:c r="F278" s="12" t="str">
        <x:v>2026-09-28</x:v>
      </x:c>
      <x:c r="G278" s="19" t="n">
        <x:v>0</x:v>
      </x:c>
      <x:c r="H278" s="20" t="str">
        <x:v>OUT</x:v>
      </x:c>
      <x:c r="I278" s="20" t="n">
        <x:v>36.66666666666667</x:v>
      </x:c>
      <x:c r="J278" s="20" t="str">
        <x:v>Routes</x:v>
      </x:c>
      <x:c r="K278" s="20" t="n">
        <x:v>26.82119205298013</x:v>
      </x:c>
      <x:c r="L278" s="21" t="n">
        <x:v>0</x:v>
      </x:c>
      <x:c r="M278" s="21" t="n">
        <x:v>0</x:v>
      </x:c>
      <x:c r="N278" s="21" t="n">
        <x:v>0</x:v>
      </x:c>
      <x:c r="O278" s="21" t="n">
        <x:v>0</x:v>
      </x:c>
      <x:c r="P278" s="21" t="n">
        <x:v>0</x:v>
      </x:c>
      <x:c r="Q278" s="21" t="n">
        <x:v>0</x:v>
      </x:c>
      <x:c r="R278" s="21" t="n">
        <x:v>0</x:v>
      </x:c>
      <x:c r="S278" s="21" t="n">
        <x:v>0</x:v>
      </x:c>
      <x:c r="T278" s="21" t="n">
        <x:v>0</x:v>
      </x:c>
      <x:c r="U278" s="21" t="n">
        <x:v>0</x:v>
      </x:c>
      <x:c r="V278" s="21" t="n">
        <x:v>0</x:v>
      </x:c>
      <x:c r="W278" s="21" t="n">
        <x:v>5.364238410596026</x:v>
      </x:c>
      <x:c r="X278" s="21" t="n">
        <x:v>3.7549668874172184</x:v>
      </x:c>
      <x:c r="Y278" s="21" t="n">
        <x:v>45.085350993377475</x:v>
      </x:c>
      <x:c r="Z278" s="21" t="n">
        <x:v>0.3381401324503311</x:v>
      </x:c>
      <x:c r="AA278" s="21" t="n">
        <x:v>26.82119205298013</x:v>
      </x:c>
      <x:c r="AB278" s="21" t="n">
        <x:v>0.68</x:v>
      </x:c>
      <x:c r="AC278" s="21" t="n">
        <x:v>0</x:v>
      </x:c>
      <x:c r="AD278" s="21" t="n">
        <x:v>0</x:v>
      </x:c>
      <x:c r="AE278" s="21" t="n">
        <x:v>0</x:v>
      </x:c>
      <x:c r="AF278" s="21" t="n">
        <x:v>0</x:v>
      </x:c>
      <x:c r="AG278" s="21" t="n">
        <x:v>0</x:v>
      </x:c>
      <x:c r="AH278" s="21" t="n">
        <x:v>0</x:v>
      </x:c>
      <x:c r="AI278" s="21" t="n">
        <x:v>0</x:v>
      </x:c>
      <x:c r="AJ278" s="21" t="n">
        <x:v>0</x:v>
      </x:c>
      <x:c r="AK278" s="21" t="n">
        <x:v>0</x:v>
      </x:c>
      <x:c r="AL278" s="21" t="n">
        <x:v>0</x:v>
      </x:c>
      <x:c r="AM278" s="21" t="n">
        <x:v>0</x:v>
      </x:c>
      <x:c r="AN278" s="21" t="n">
        <x:v>1</x:v>
      </x:c>
      <x:c r="AO278" s="21" t="n">
        <x:v>1</x:v>
      </x:c>
      <x:c r="AP278" s="21" t="n">
        <x:v>1.03</x:v>
      </x:c>
      <x:c r="AQ278" s="21" t="n">
        <x:v>1.02</x:v>
      </x:c>
      <x:c r="AR278" s="21" t="n">
        <x:v>1</x:v>
      </x:c>
      <x:c r="AS278" s="21" t="n">
        <x:v>1</x:v>
      </x:c>
      <x:c r="AT278" s="21" t="n">
        <x:v>1</x:v>
      </x:c>
      <x:c r="AU278" s="21" t="n">
        <x:v>0</x:v>
      </x:c>
      <x:c r="AV278" s="22" t="n">
        <x:f>IF(C278="QB",N278*0.04+O278*4-P278*2+R278*0.1+S278*6,IF(OR(C278="RB",C278="WR",C278="TE"),U278*0.1+V278*6+R278*0.1+S278*6+X278*0.5+Y278*0.1+Z278*6,IF(C278="K",AC278*3+AD278*4+AE278*5+AF278,IF(C278="DST",AG278+AH278*2+AI278*6+AL278,0))))</x:f>
        <x:v>8.414859337748343</x:v>
      </x:c>
      <x:c r="AW278" s="22" t="n">
        <x:f>(AV278+AU278)*G278</x:f>
        <x:v>0</x:v>
      </x:c>
      <x:c r="AX278" s="22" t="n">
        <x:f>MAX(0,AW278*IF(C278="QB",0.68,IF(C278="RB",0.58,IF(C278="WR",0.52,IF(C278="TE",0.50,IF(C278="K",0.55,0.40))))))</x:f>
        <x:v>0</x:v>
      </x:c>
      <x:c r="AY278" s="22" t="n">
        <x:f>AW278*IF(C278="QB",1.32,IF(C278="RB",1.45,IF(C278="WR",1.55,IF(C278="TE",1.60,IF(C278="K",1.45,1.65)))))</x:f>
        <x:v>0</x:v>
      </x:c>
      <x:c r="AZ278" s="12" t="str">
        <x:v>Low</x:v>
      </x:c>
      <x:c r="BA278" s="12" t="n">
        <x:v>7</x:v>
      </x:c>
      <x:c r="BB278" s="12"/>
      <x:c r="BC278" s="12" t="n">
        <x:v>14</x:v>
      </x:c>
      <x:c r="BD278" s="12" t="str">
        <x:v>↓</x:v>
      </x:c>
      <x:c r="BE278" s="23" t="str">
        <x:v>Reuters, Sep. 21: MCL sprain; Eagles signed Zach Ertz</x:v>
      </x:c>
      <x:c r="BF278" s="23" t="str">
        <x:v>Removed from Week 3 projection.</x:v>
      </x:c>
      <x:c r="BG278" s="23" t="str">
        <x:v>Return-to-practice designation</x:v>
      </x:c>
      <x:c r="BH278" s="24" t="str">
        <x:v>2026-09-23 10:35 CT</x:v>
      </x:c>
    </x:row>
    <x:row r="279">
      <x:c r="A279" s="12" t="str">
        <x:v>Tyler Loop</x:v>
      </x:c>
      <x:c r="B279" s="12" t="str">
        <x:v>BAL</x:v>
      </x:c>
      <x:c r="C279" s="12" t="str">
        <x:v>K</x:v>
      </x:c>
      <x:c r="D279" s="12" t="str">
        <x:v>DAL</x:v>
      </x:c>
      <x:c r="E279" s="12" t="str">
        <x:v>Away</x:v>
      </x:c>
      <x:c r="F279" s="12" t="str">
        <x:v>2026-09-27</x:v>
      </x:c>
      <x:c r="G279" s="19" t="n">
        <x:v>1</x:v>
      </x:c>
      <x:c r="H279" s="20" t="str">
        <x:v>ACTIVE</x:v>
      </x:c>
      <x:c r="I279" s="20" t="n">
        <x:v>10</x:v>
      </x:c>
      <x:c r="J279" s="20" t="str">
        <x:v>Scoring drives</x:v>
      </x:c>
      <x:c r="K279" s="20" t="n">
        <x:v>4.289156626506024</x:v>
      </x:c>
      <x:c r="L279" s="21" t="n">
        <x:v>0</x:v>
      </x:c>
      <x:c r="M279" s="21" t="n">
        <x:v>0</x:v>
      </x:c>
      <x:c r="N279" s="21" t="n">
        <x:v>0</x:v>
      </x:c>
      <x:c r="O279" s="21" t="n">
        <x:v>0</x:v>
      </x:c>
      <x:c r="P279" s="21" t="n">
        <x:v>0</x:v>
      </x:c>
      <x:c r="Q279" s="21" t="n">
        <x:v>0</x:v>
      </x:c>
      <x:c r="R279" s="21" t="n">
        <x:v>0</x:v>
      </x:c>
      <x:c r="S279" s="21" t="n">
        <x:v>0</x:v>
      </x:c>
      <x:c r="T279" s="21" t="n">
        <x:v>0</x:v>
      </x:c>
      <x:c r="U279" s="21" t="n">
        <x:v>0</x:v>
      </x:c>
      <x:c r="V279" s="21" t="n">
        <x:v>0</x:v>
      </x:c>
      <x:c r="W279" s="21" t="n">
        <x:v>0</x:v>
      </x:c>
      <x:c r="X279" s="21" t="n">
        <x:v>0</x:v>
      </x:c>
      <x:c r="Y279" s="21" t="n">
        <x:v>0</x:v>
      </x:c>
      <x:c r="Z279" s="21" t="n">
        <x:v>0</x:v>
      </x:c>
      <x:c r="AA279" s="21" t="n">
        <x:v>0</x:v>
      </x:c>
      <x:c r="AB279" s="21" t="n">
        <x:v>0</x:v>
      </x:c>
      <x:c r="AC279" s="21" t="n">
        <x:v>0.9367518072289158</x:v>
      </x:c>
      <x:c r="AD279" s="21" t="n">
        <x:v>0.5854698795180724</x:v>
      </x:c>
      <x:c r="AE279" s="21" t="n">
        <x:v>0.3512819277108434</x:v>
      </x:c>
      <x:c r="AF279" s="21" t="n">
        <x:v>2.810255421686747</x:v>
      </x:c>
      <x:c r="AG279" s="21" t="n">
        <x:v>0</x:v>
      </x:c>
      <x:c r="AH279" s="21" t="n">
        <x:v>0</x:v>
      </x:c>
      <x:c r="AI279" s="21" t="n">
        <x:v>0</x:v>
      </x:c>
      <x:c r="AJ279" s="21" t="n">
        <x:v>0</x:v>
      </x:c>
      <x:c r="AK279" s="21" t="n">
        <x:v>0</x:v>
      </x:c>
      <x:c r="AL279" s="21" t="n">
        <x:v>0</x:v>
      </x:c>
      <x:c r="AM279" s="21" t="n">
        <x:v>1</x:v>
      </x:c>
      <x:c r="AN279" s="21" t="n">
        <x:v>1</x:v>
      </x:c>
      <x:c r="AO279" s="21" t="n">
        <x:v>1</x:v>
      </x:c>
      <x:c r="AP279" s="21" t="n">
        <x:v>1.04</x:v>
      </x:c>
      <x:c r="AQ279" s="21" t="n">
        <x:v>1.05</x:v>
      </x:c>
      <x:c r="AR279" s="21" t="n">
        <x:v>1</x:v>
      </x:c>
      <x:c r="AS279" s="21" t="n">
        <x:v>1</x:v>
      </x:c>
      <x:c r="AT279" s="21" t="n">
        <x:v>1</x:v>
      </x:c>
      <x:c r="AU279" s="21" t="n">
        <x:v>0</x:v>
      </x:c>
      <x:c r="AV279" s="22" t="n">
        <x:f>IF(C279="QB",N279*0.04+O279*4-P279*2+R279*0.1+S279*6,IF(OR(C279="RB",C279="WR",C279="TE"),U279*0.1+V279*6+R279*0.1+S279*6+X279*0.5+Y279*0.1+Z279*6,IF(C279="K",AC279*3+AD279*4+AE279*5+AF279,IF(C279="DST",AG279+AH279*2+AI279*6+AL279,0))))</x:f>
        <x:v>9.718800000000002</x:v>
      </x:c>
      <x:c r="AW279" s="22" t="n">
        <x:f>(AV279+AU279)*G279</x:f>
        <x:v>9.718800000000002</x:v>
      </x:c>
      <x:c r="AX279" s="22" t="n">
        <x:f>MAX(0,AW279*IF(C279="QB",0.68,IF(C279="RB",0.58,IF(C279="WR",0.52,IF(C279="TE",0.50,IF(C279="K",0.55,0.40))))))</x:f>
        <x:v>5.345340000000001</x:v>
      </x:c>
      <x:c r="AY279" s="22" t="n">
        <x:f>AW279*IF(C279="QB",1.32,IF(C279="RB",1.45,IF(C279="WR",1.55,IF(C279="TE",1.60,IF(C279="K",1.45,1.65)))))</x:f>
        <x:v>14.092260000000001</x:v>
      </x:c>
      <x:c r="AZ279" s="12" t="str">
        <x:v>High</x:v>
      </x:c>
      <x:c r="BA279" s="12" t="n">
        <x:v>1</x:v>
      </x:c>
      <x:c r="BB279" s="12" t="n">
        <x:f>COUNTIFS($C$2:$C$344,C279,$AW$2:$AW$344,"&gt;"&amp;AW279,$G$2:$G$344,"&gt;0")+COUNTIFS($C$2:C279,C279,$AW$2:AW279,AW279,$G$2:G279,"&gt;0")</x:f>
        <x:v>1</x:v>
      </x:c>
      <x:c r="BC279" s="12" t="n">
        <x:v>1</x:v>
      </x:c>
      <x:c r="BD279" s="12" t="str">
        <x:f>IF(BB279&lt;BC279,"↑",IF(BB279&gt;BC279,"↓","→"))</x:f>
        <x:v>→</x:v>
      </x:c>
      <x:c r="BE279" s="23" t="str">
        <x:v>Fantasy Football Brief ROS baseline; official NFL schedule</x:v>
      </x:c>
      <x:c r="BF279" s="23" t="str">
        <x:v>Current role and availability baseline; all adjustment factors shown numerically</x:v>
      </x:c>
      <x:c r="BG279" s="23" t="str">
        <x:v>Material injury, depth-chart, or role change</x:v>
      </x:c>
      <x:c r="BH279" s="24" t="str">
        <x:v>2026-09-23 10:35 CT</x:v>
      </x:c>
    </x:row>
    <x:row r="280">
      <x:c r="A280" s="12" t="str">
        <x:v>Ka'imi Fairbairn</x:v>
      </x:c>
      <x:c r="B280" s="12" t="str">
        <x:v>HOU</x:v>
      </x:c>
      <x:c r="C280" s="12" t="str">
        <x:v>K</x:v>
      </x:c>
      <x:c r="D280" s="12" t="str">
        <x:v>IND</x:v>
      </x:c>
      <x:c r="E280" s="12" t="str">
        <x:v>Away</x:v>
      </x:c>
      <x:c r="F280" s="12" t="str">
        <x:v>2026-09-27</x:v>
      </x:c>
      <x:c r="G280" s="19" t="n">
        <x:v>1</x:v>
      </x:c>
      <x:c r="H280" s="20" t="str">
        <x:v>ACTIVE</x:v>
      </x:c>
      <x:c r="I280" s="20" t="n">
        <x:v>10</x:v>
      </x:c>
      <x:c r="J280" s="20" t="str">
        <x:v>Scoring drives</x:v>
      </x:c>
      <x:c r="K280" s="20" t="n">
        <x:v>4.481927710843373</x:v>
      </x:c>
      <x:c r="L280" s="21" t="n">
        <x:v>0</x:v>
      </x:c>
      <x:c r="M280" s="21" t="n">
        <x:v>0</x:v>
      </x:c>
      <x:c r="N280" s="21" t="n">
        <x:v>0</x:v>
      </x:c>
      <x:c r="O280" s="21" t="n">
        <x:v>0</x:v>
      </x:c>
      <x:c r="P280" s="21" t="n">
        <x:v>0</x:v>
      </x:c>
      <x:c r="Q280" s="21" t="n">
        <x:v>0</x:v>
      </x:c>
      <x:c r="R280" s="21" t="n">
        <x:v>0</x:v>
      </x:c>
      <x:c r="S280" s="21" t="n">
        <x:v>0</x:v>
      </x:c>
      <x:c r="T280" s="21" t="n">
        <x:v>0</x:v>
      </x:c>
      <x:c r="U280" s="21" t="n">
        <x:v>0</x:v>
      </x:c>
      <x:c r="V280" s="21" t="n">
        <x:v>0</x:v>
      </x:c>
      <x:c r="W280" s="21" t="n">
        <x:v>0</x:v>
      </x:c>
      <x:c r="X280" s="21" t="n">
        <x:v>0</x:v>
      </x:c>
      <x:c r="Y280" s="21" t="n">
        <x:v>0</x:v>
      </x:c>
      <x:c r="Z280" s="21" t="n">
        <x:v>0</x:v>
      </x:c>
      <x:c r="AA280" s="21" t="n">
        <x:v>0</x:v>
      </x:c>
      <x:c r="AB280" s="21" t="n">
        <x:v>0</x:v>
      </x:c>
      <x:c r="AC280" s="21" t="n">
        <x:v>0.9140443373493976</x:v>
      </x:c>
      <x:c r="AD280" s="21" t="n">
        <x:v>0.5712777108433735</x:v>
      </x:c>
      <x:c r="AE280" s="21" t="n">
        <x:v>0.34276662650602413</x:v>
      </x:c>
      <x:c r="AF280" s="21" t="n">
        <x:v>2.742133012048193</x:v>
      </x:c>
      <x:c r="AG280" s="21" t="n">
        <x:v>0</x:v>
      </x:c>
      <x:c r="AH280" s="21" t="n">
        <x:v>0</x:v>
      </x:c>
      <x:c r="AI280" s="21" t="n">
        <x:v>0</x:v>
      </x:c>
      <x:c r="AJ280" s="21" t="n">
        <x:v>0</x:v>
      </x:c>
      <x:c r="AK280" s="21" t="n">
        <x:v>0</x:v>
      </x:c>
      <x:c r="AL280" s="21" t="n">
        <x:v>0</x:v>
      </x:c>
      <x:c r="AM280" s="21" t="n">
        <x:v>1</x:v>
      </x:c>
      <x:c r="AN280" s="21" t="n">
        <x:v>1</x:v>
      </x:c>
      <x:c r="AO280" s="21" t="n">
        <x:v>1</x:v>
      </x:c>
      <x:c r="AP280" s="21" t="n">
        <x:v>0.99</x:v>
      </x:c>
      <x:c r="AQ280" s="21" t="n">
        <x:v>1.03</x:v>
      </x:c>
      <x:c r="AR280" s="21" t="n">
        <x:v>1</x:v>
      </x:c>
      <x:c r="AS280" s="21" t="n">
        <x:v>1</x:v>
      </x:c>
      <x:c r="AT280" s="21" t="n">
        <x:v>1</x:v>
      </x:c>
      <x:c r="AU280" s="21" t="n">
        <x:v>0</x:v>
      </x:c>
      <x:c r="AV280" s="22" t="n">
        <x:f>IF(C280="QB",N280*0.04+O280*4-P280*2+R280*0.1+S280*6,IF(OR(C280="RB",C280="WR",C280="TE"),U280*0.1+V280*6+R280*0.1+S280*6+X280*0.5+Y280*0.1+Z280*6,IF(C280="K",AC280*3+AD280*4+AE280*5+AF280,IF(C280="DST",AG280+AH280*2+AI280*6+AL280,0))))</x:f>
        <x:v>9.48321</x:v>
      </x:c>
      <x:c r="AW280" s="22" t="n">
        <x:f>(AV280+AU280)*G280</x:f>
        <x:v>9.48321</x:v>
      </x:c>
      <x:c r="AX280" s="22" t="n">
        <x:f>MAX(0,AW280*IF(C280="QB",0.68,IF(C280="RB",0.58,IF(C280="WR",0.52,IF(C280="TE",0.50,IF(C280="K",0.55,0.40))))))</x:f>
        <x:v>5.2157655</x:v>
      </x:c>
      <x:c r="AY280" s="22" t="n">
        <x:f>AW280*IF(C280="QB",1.32,IF(C280="RB",1.45,IF(C280="WR",1.55,IF(C280="TE",1.60,IF(C280="K",1.45,1.65)))))</x:f>
        <x:v>13.7506545</x:v>
      </x:c>
      <x:c r="AZ280" s="12" t="str">
        <x:v>High</x:v>
      </x:c>
      <x:c r="BA280" s="12" t="n">
        <x:v>1</x:v>
      </x:c>
      <x:c r="BB280" s="12" t="n">
        <x:f>COUNTIFS($C$2:$C$344,C280,$AW$2:$AW$344,"&gt;"&amp;AW280,$G$2:$G$344,"&gt;0")+COUNTIFS($C$2:C280,C280,$AW$2:AW280,AW280,$G$2:G280,"&gt;0")</x:f>
        <x:v>2</x:v>
      </x:c>
      <x:c r="BC280" s="12" t="n">
        <x:v>2</x:v>
      </x:c>
      <x:c r="BD280" s="12" t="str">
        <x:f>IF(BB280&lt;BC280,"↑",IF(BB280&gt;BC280,"↓","→"))</x:f>
        <x:v>→</x:v>
      </x:c>
      <x:c r="BE280" s="23" t="str">
        <x:v>Fantasy Football Brief ROS baseline; official NFL schedule</x:v>
      </x:c>
      <x:c r="BF280" s="23" t="str">
        <x:v>Current role and availability baseline; all adjustment factors shown numerically</x:v>
      </x:c>
      <x:c r="BG280" s="23" t="str">
        <x:v>Material injury, depth-chart, or role change</x:v>
      </x:c>
      <x:c r="BH280" s="24" t="str">
        <x:v>2026-09-23 10:35 CT</x:v>
      </x:c>
    </x:row>
    <x:row r="281">
      <x:c r="A281" s="12" t="str">
        <x:v>Jason Myers</x:v>
      </x:c>
      <x:c r="B281" s="12" t="str">
        <x:v>SEA</x:v>
      </x:c>
      <x:c r="C281" s="12" t="str">
        <x:v>K</x:v>
      </x:c>
      <x:c r="D281" s="12" t="str">
        <x:v>WAS</x:v>
      </x:c>
      <x:c r="E281" s="12" t="str">
        <x:v>Away</x:v>
      </x:c>
      <x:c r="F281" s="12" t="str">
        <x:v>2026-09-27</x:v>
      </x:c>
      <x:c r="G281" s="19" t="n">
        <x:v>1</x:v>
      </x:c>
      <x:c r="H281" s="20" t="str">
        <x:v>ACTIVE</x:v>
      </x:c>
      <x:c r="I281" s="20" t="n">
        <x:v>10</x:v>
      </x:c>
      <x:c r="J281" s="20" t="str">
        <x:v>Scoring drives</x:v>
      </x:c>
      <x:c r="K281" s="20" t="n">
        <x:v>4.433734939759035</x:v>
      </x:c>
      <x:c r="L281" s="21" t="n">
        <x:v>0</x:v>
      </x:c>
      <x:c r="M281" s="21" t="n">
        <x:v>0</x:v>
      </x:c>
      <x:c r="N281" s="21" t="n">
        <x:v>0</x:v>
      </x:c>
      <x:c r="O281" s="21" t="n">
        <x:v>0</x:v>
      </x:c>
      <x:c r="P281" s="21" t="n">
        <x:v>0</x:v>
      </x:c>
      <x:c r="Q281" s="21" t="n">
        <x:v>0</x:v>
      </x:c>
      <x:c r="R281" s="21" t="n">
        <x:v>0</x:v>
      </x:c>
      <x:c r="S281" s="21" t="n">
        <x:v>0</x:v>
      </x:c>
      <x:c r="T281" s="21" t="n">
        <x:v>0</x:v>
      </x:c>
      <x:c r="U281" s="21" t="n">
        <x:v>0</x:v>
      </x:c>
      <x:c r="V281" s="21" t="n">
        <x:v>0</x:v>
      </x:c>
      <x:c r="W281" s="21" t="n">
        <x:v>0</x:v>
      </x:c>
      <x:c r="X281" s="21" t="n">
        <x:v>0</x:v>
      </x:c>
      <x:c r="Y281" s="21" t="n">
        <x:v>0</x:v>
      </x:c>
      <x:c r="Z281" s="21" t="n">
        <x:v>0</x:v>
      </x:c>
      <x:c r="AA281" s="21" t="n">
        <x:v>0</x:v>
      </x:c>
      <x:c r="AB281" s="21" t="n">
        <x:v>0</x:v>
      </x:c>
      <x:c r="AC281" s="21" t="n">
        <x:v>0.9133493975903613</x:v>
      </x:c>
      <x:c r="AD281" s="21" t="n">
        <x:v>0.5708433734939758</x:v>
      </x:c>
      <x:c r="AE281" s="21" t="n">
        <x:v>0.3425060240963855</x:v>
      </x:c>
      <x:c r="AF281" s="21" t="n">
        <x:v>2.740048192771084</x:v>
      </x:c>
      <x:c r="AG281" s="21" t="n">
        <x:v>0</x:v>
      </x:c>
      <x:c r="AH281" s="21" t="n">
        <x:v>0</x:v>
      </x:c>
      <x:c r="AI281" s="21" t="n">
        <x:v>0</x:v>
      </x:c>
      <x:c r="AJ281" s="21" t="n">
        <x:v>0</x:v>
      </x:c>
      <x:c r="AK281" s="21" t="n">
        <x:v>0</x:v>
      </x:c>
      <x:c r="AL281" s="21" t="n">
        <x:v>0</x:v>
      </x:c>
      <x:c r="AM281" s="21" t="n">
        <x:v>1</x:v>
      </x:c>
      <x:c r="AN281" s="21" t="n">
        <x:v>1</x:v>
      </x:c>
      <x:c r="AO281" s="21" t="n">
        <x:v>1</x:v>
      </x:c>
      <x:c r="AP281" s="21" t="n">
        <x:v>1</x:v>
      </x:c>
      <x:c r="AQ281" s="21" t="n">
        <x:v>1.03</x:v>
      </x:c>
      <x:c r="AR281" s="21" t="n">
        <x:v>1</x:v>
      </x:c>
      <x:c r="AS281" s="21" t="n">
        <x:v>1</x:v>
      </x:c>
      <x:c r="AT281" s="21" t="n">
        <x:v>1</x:v>
      </x:c>
      <x:c r="AU281" s="21" t="n">
        <x:v>0</x:v>
      </x:c>
      <x:c r="AV281" s="22" t="n">
        <x:f>IF(C281="QB",N281*0.04+O281*4-P281*2+R281*0.1+S281*6,IF(OR(C281="RB",C281="WR",C281="TE"),U281*0.1+V281*6+R281*0.1+S281*6+X281*0.5+Y281*0.1+Z281*6,IF(C281="K",AC281*3+AD281*4+AE281*5+AF281,IF(C281="DST",AG281+AH281*2+AI281*6+AL281,0))))</x:f>
        <x:v>9.475999999999999</x:v>
      </x:c>
      <x:c r="AW281" s="22" t="n">
        <x:f>(AV281+AU281)*G281</x:f>
        <x:v>9.475999999999999</x:v>
      </x:c>
      <x:c r="AX281" s="22" t="n">
        <x:f>MAX(0,AW281*IF(C281="QB",0.68,IF(C281="RB",0.58,IF(C281="WR",0.52,IF(C281="TE",0.50,IF(C281="K",0.55,0.40))))))</x:f>
        <x:v>5.2118</x:v>
      </x:c>
      <x:c r="AY281" s="22" t="n">
        <x:f>AW281*IF(C281="QB",1.32,IF(C281="RB",1.45,IF(C281="WR",1.55,IF(C281="TE",1.60,IF(C281="K",1.45,1.65)))))</x:f>
        <x:v>13.740199999999998</x:v>
      </x:c>
      <x:c r="AZ281" s="12" t="str">
        <x:v>High</x:v>
      </x:c>
      <x:c r="BA281" s="12" t="n">
        <x:v>1</x:v>
      </x:c>
      <x:c r="BB281" s="12" t="n">
        <x:f>COUNTIFS($C$2:$C$344,C281,$AW$2:$AW$344,"&gt;"&amp;AW281,$G$2:$G$344,"&gt;0")+COUNTIFS($C$2:C281,C281,$AW$2:AW281,AW281,$G$2:G281,"&gt;0")</x:f>
        <x:v>3</x:v>
      </x:c>
      <x:c r="BC281" s="12" t="n">
        <x:v>3</x:v>
      </x:c>
      <x:c r="BD281" s="12" t="str">
        <x:f>IF(BB281&lt;BC281,"↑",IF(BB281&gt;BC281,"↓","→"))</x:f>
        <x:v>→</x:v>
      </x:c>
      <x:c r="BE281" s="23" t="str">
        <x:v>Fantasy Football Brief ROS baseline; official NFL schedule</x:v>
      </x:c>
      <x:c r="BF281" s="23" t="str">
        <x:v>Current role and availability baseline; all adjustment factors shown numerically</x:v>
      </x:c>
      <x:c r="BG281" s="23" t="str">
        <x:v>Material injury, depth-chart, or role change</x:v>
      </x:c>
      <x:c r="BH281" s="24" t="str">
        <x:v>2026-09-23 10:35 CT</x:v>
      </x:c>
    </x:row>
    <x:row r="282">
      <x:c r="A282" s="12" t="str">
        <x:v>Harrison Butker</x:v>
      </x:c>
      <x:c r="B282" s="12" t="str">
        <x:v>KC</x:v>
      </x:c>
      <x:c r="C282" s="12" t="str">
        <x:v>K</x:v>
      </x:c>
      <x:c r="D282" s="12" t="str">
        <x:v>MIA</x:v>
      </x:c>
      <x:c r="E282" s="12" t="str">
        <x:v>Away</x:v>
      </x:c>
      <x:c r="F282" s="12" t="str">
        <x:v>2026-09-27</x:v>
      </x:c>
      <x:c r="G282" s="19" t="n">
        <x:v>1</x:v>
      </x:c>
      <x:c r="H282" s="20" t="str">
        <x:v>ACTIVE</x:v>
      </x:c>
      <x:c r="I282" s="20" t="n">
        <x:v>10</x:v>
      </x:c>
      <x:c r="J282" s="20" t="str">
        <x:v>Scoring drives</x:v>
      </x:c>
      <x:c r="K282" s="20" t="n">
        <x:v>4.240963855421687</x:v>
      </x:c>
      <x:c r="L282" s="21" t="n">
        <x:v>0</x:v>
      </x:c>
      <x:c r="M282" s="21" t="n">
        <x:v>0</x:v>
      </x:c>
      <x:c r="N282" s="21" t="n">
        <x:v>0</x:v>
      </x:c>
      <x:c r="O282" s="21" t="n">
        <x:v>0</x:v>
      </x:c>
      <x:c r="P282" s="21" t="n">
        <x:v>0</x:v>
      </x:c>
      <x:c r="Q282" s="21" t="n">
        <x:v>0</x:v>
      </x:c>
      <x:c r="R282" s="21" t="n">
        <x:v>0</x:v>
      </x:c>
      <x:c r="S282" s="21" t="n">
        <x:v>0</x:v>
      </x:c>
      <x:c r="T282" s="21" t="n">
        <x:v>0</x:v>
      </x:c>
      <x:c r="U282" s="21" t="n">
        <x:v>0</x:v>
      </x:c>
      <x:c r="V282" s="21" t="n">
        <x:v>0</x:v>
      </x:c>
      <x:c r="W282" s="21" t="n">
        <x:v>0</x:v>
      </x:c>
      <x:c r="X282" s="21" t="n">
        <x:v>0</x:v>
      </x:c>
      <x:c r="Y282" s="21" t="n">
        <x:v>0</x:v>
      </x:c>
      <x:c r="Z282" s="21" t="n">
        <x:v>0</x:v>
      </x:c>
      <x:c r="AA282" s="21" t="n">
        <x:v>0</x:v>
      </x:c>
      <x:c r="AB282" s="21" t="n">
        <x:v>0</x:v>
      </x:c>
      <x:c r="AC282" s="21" t="n">
        <x:v>0.8998477108433736</x:v>
      </x:c>
      <x:c r="AD282" s="21" t="n">
        <x:v>0.5624048192771085</x:v>
      </x:c>
      <x:c r="AE282" s="21" t="n">
        <x:v>0.33744289156626506</x:v>
      </x:c>
      <x:c r="AF282" s="21" t="n">
        <x:v>2.6995431325301205</x:v>
      </x:c>
      <x:c r="AG282" s="21" t="n">
        <x:v>0</x:v>
      </x:c>
      <x:c r="AH282" s="21" t="n">
        <x:v>0</x:v>
      </x:c>
      <x:c r="AI282" s="21" t="n">
        <x:v>0</x:v>
      </x:c>
      <x:c r="AJ282" s="21" t="n">
        <x:v>0</x:v>
      </x:c>
      <x:c r="AK282" s="21" t="n">
        <x:v>0</x:v>
      </x:c>
      <x:c r="AL282" s="21" t="n">
        <x:v>0</x:v>
      </x:c>
      <x:c r="AM282" s="21" t="n">
        <x:v>1</x:v>
      </x:c>
      <x:c r="AN282" s="21" t="n">
        <x:v>1</x:v>
      </x:c>
      <x:c r="AO282" s="21" t="n">
        <x:v>1</x:v>
      </x:c>
      <x:c r="AP282" s="21" t="n">
        <x:v>1.03</x:v>
      </x:c>
      <x:c r="AQ282" s="21" t="n">
        <x:v>1.03</x:v>
      </x:c>
      <x:c r="AR282" s="21" t="n">
        <x:v>1</x:v>
      </x:c>
      <x:c r="AS282" s="21" t="n">
        <x:v>1</x:v>
      </x:c>
      <x:c r="AT282" s="21" t="n">
        <x:v>1</x:v>
      </x:c>
      <x:c r="AU282" s="21" t="n">
        <x:v>0</x:v>
      </x:c>
      <x:c r="AV282" s="22" t="n">
        <x:f>IF(C282="QB",N282*0.04+O282*4-P282*2+R282*0.1+S282*6,IF(OR(C282="RB",C282="WR",C282="TE"),U282*0.1+V282*6+R282*0.1+S282*6+X282*0.5+Y282*0.1+Z282*6,IF(C282="K",AC282*3+AD282*4+AE282*5+AF282,IF(C282="DST",AG282+AH282*2+AI282*6+AL282,0))))</x:f>
        <x:v>9.33592</x:v>
      </x:c>
      <x:c r="AW282" s="22" t="n">
        <x:f>(AV282+AU282)*G282</x:f>
        <x:v>9.33592</x:v>
      </x:c>
      <x:c r="AX282" s="22" t="n">
        <x:f>MAX(0,AW282*IF(C282="QB",0.68,IF(C282="RB",0.58,IF(C282="WR",0.52,IF(C282="TE",0.50,IF(C282="K",0.55,0.40))))))</x:f>
        <x:v>5.134756</x:v>
      </x:c>
      <x:c r="AY282" s="22" t="n">
        <x:f>AW282*IF(C282="QB",1.32,IF(C282="RB",1.45,IF(C282="WR",1.55,IF(C282="TE",1.60,IF(C282="K",1.45,1.65)))))</x:f>
        <x:v>13.537084</x:v>
      </x:c>
      <x:c r="AZ282" s="12" t="str">
        <x:v>High</x:v>
      </x:c>
      <x:c r="BA282" s="12" t="n">
        <x:v>1</x:v>
      </x:c>
      <x:c r="BB282" s="12" t="n">
        <x:f>COUNTIFS($C$2:$C$344,C282,$AW$2:$AW$344,"&gt;"&amp;AW282,$G$2:$G$344,"&gt;0")+COUNTIFS($C$2:C282,C282,$AW$2:AW282,AW282,$G$2:G282,"&gt;0")</x:f>
        <x:v>4</x:v>
      </x:c>
      <x:c r="BC282" s="12" t="n">
        <x:v>4</x:v>
      </x:c>
      <x:c r="BD282" s="12" t="str">
        <x:f>IF(BB282&lt;BC282,"↑",IF(BB282&gt;BC282,"↓","→"))</x:f>
        <x:v>→</x:v>
      </x:c>
      <x:c r="BE282" s="23" t="str">
        <x:v>Fantasy Football Brief ROS baseline; official NFL schedule</x:v>
      </x:c>
      <x:c r="BF282" s="23" t="str">
        <x:v>Current role and availability baseline; all adjustment factors shown numerically</x:v>
      </x:c>
      <x:c r="BG282" s="23" t="str">
        <x:v>Material injury, depth-chart, or role change</x:v>
      </x:c>
      <x:c r="BH282" s="24" t="str">
        <x:v>2026-09-23 10:35 CT</x:v>
      </x:c>
    </x:row>
    <x:row r="283">
      <x:c r="A283" s="12" t="str">
        <x:v>Jake Bates</x:v>
      </x:c>
      <x:c r="B283" s="12" t="str">
        <x:v>DET</x:v>
      </x:c>
      <x:c r="C283" s="12" t="str">
        <x:v>K</x:v>
      </x:c>
      <x:c r="D283" s="12" t="str">
        <x:v>NYJ</x:v>
      </x:c>
      <x:c r="E283" s="12" t="str">
        <x:v>Home</x:v>
      </x:c>
      <x:c r="F283" s="12" t="str">
        <x:v>2026-09-27</x:v>
      </x:c>
      <x:c r="G283" s="19" t="n">
        <x:v>1</x:v>
      </x:c>
      <x:c r="H283" s="20" t="str">
        <x:v>ACTIVE</x:v>
      </x:c>
      <x:c r="I283" s="20" t="n">
        <x:v>10</x:v>
      </x:c>
      <x:c r="J283" s="20" t="str">
        <x:v>Scoring drives</x:v>
      </x:c>
      <x:c r="K283" s="20" t="n">
        <x:v>4.240963855421687</x:v>
      </x:c>
      <x:c r="L283" s="21" t="n">
        <x:v>0</x:v>
      </x:c>
      <x:c r="M283" s="21" t="n">
        <x:v>0</x:v>
      </x:c>
      <x:c r="N283" s="21" t="n">
        <x:v>0</x:v>
      </x:c>
      <x:c r="O283" s="21" t="n">
        <x:v>0</x:v>
      </x:c>
      <x:c r="P283" s="21" t="n">
        <x:v>0</x:v>
      </x:c>
      <x:c r="Q283" s="21" t="n">
        <x:v>0</x:v>
      </x:c>
      <x:c r="R283" s="21" t="n">
        <x:v>0</x:v>
      </x:c>
      <x:c r="S283" s="21" t="n">
        <x:v>0</x:v>
      </x:c>
      <x:c r="T283" s="21" t="n">
        <x:v>0</x:v>
      </x:c>
      <x:c r="U283" s="21" t="n">
        <x:v>0</x:v>
      </x:c>
      <x:c r="V283" s="21" t="n">
        <x:v>0</x:v>
      </x:c>
      <x:c r="W283" s="21" t="n">
        <x:v>0</x:v>
      </x:c>
      <x:c r="X283" s="21" t="n">
        <x:v>0</x:v>
      </x:c>
      <x:c r="Y283" s="21" t="n">
        <x:v>0</x:v>
      </x:c>
      <x:c r="Z283" s="21" t="n">
        <x:v>0</x:v>
      </x:c>
      <x:c r="AA283" s="21" t="n">
        <x:v>0</x:v>
      </x:c>
      <x:c r="AB283" s="21" t="n">
        <x:v>0</x:v>
      </x:c>
      <x:c r="AC283" s="21" t="n">
        <x:v>0.8998477108433736</x:v>
      </x:c>
      <x:c r="AD283" s="21" t="n">
        <x:v>0.5624048192771085</x:v>
      </x:c>
      <x:c r="AE283" s="21" t="n">
        <x:v>0.33744289156626506</x:v>
      </x:c>
      <x:c r="AF283" s="21" t="n">
        <x:v>2.6995431325301205</x:v>
      </x:c>
      <x:c r="AG283" s="21" t="n">
        <x:v>0</x:v>
      </x:c>
      <x:c r="AH283" s="21" t="n">
        <x:v>0</x:v>
      </x:c>
      <x:c r="AI283" s="21" t="n">
        <x:v>0</x:v>
      </x:c>
      <x:c r="AJ283" s="21" t="n">
        <x:v>0</x:v>
      </x:c>
      <x:c r="AK283" s="21" t="n">
        <x:v>0</x:v>
      </x:c>
      <x:c r="AL283" s="21" t="n">
        <x:v>0</x:v>
      </x:c>
      <x:c r="AM283" s="21" t="n">
        <x:v>1</x:v>
      </x:c>
      <x:c r="AN283" s="21" t="n">
        <x:v>1</x:v>
      </x:c>
      <x:c r="AO283" s="21" t="n">
        <x:v>1</x:v>
      </x:c>
      <x:c r="AP283" s="21" t="n">
        <x:v>1.03</x:v>
      </x:c>
      <x:c r="AQ283" s="21" t="n">
        <x:v>1.03</x:v>
      </x:c>
      <x:c r="AR283" s="21" t="n">
        <x:v>1</x:v>
      </x:c>
      <x:c r="AS283" s="21" t="n">
        <x:v>1</x:v>
      </x:c>
      <x:c r="AT283" s="21" t="n">
        <x:v>1</x:v>
      </x:c>
      <x:c r="AU283" s="21" t="n">
        <x:v>0</x:v>
      </x:c>
      <x:c r="AV283" s="22" t="n">
        <x:f>IF(C283="QB",N283*0.04+O283*4-P283*2+R283*0.1+S283*6,IF(OR(C283="RB",C283="WR",C283="TE"),U283*0.1+V283*6+R283*0.1+S283*6+X283*0.5+Y283*0.1+Z283*6,IF(C283="K",AC283*3+AD283*4+AE283*5+AF283,IF(C283="DST",AG283+AH283*2+AI283*6+AL283,0))))</x:f>
        <x:v>9.33592</x:v>
      </x:c>
      <x:c r="AW283" s="22" t="n">
        <x:f>(AV283+AU283)*G283</x:f>
        <x:v>9.33592</x:v>
      </x:c>
      <x:c r="AX283" s="22" t="n">
        <x:f>MAX(0,AW283*IF(C283="QB",0.68,IF(C283="RB",0.58,IF(C283="WR",0.52,IF(C283="TE",0.50,IF(C283="K",0.55,0.40))))))</x:f>
        <x:v>5.134756</x:v>
      </x:c>
      <x:c r="AY283" s="22" t="n">
        <x:f>AW283*IF(C283="QB",1.32,IF(C283="RB",1.45,IF(C283="WR",1.55,IF(C283="TE",1.60,IF(C283="K",1.45,1.65)))))</x:f>
        <x:v>13.537084</x:v>
      </x:c>
      <x:c r="AZ283" s="12" t="str">
        <x:v>High</x:v>
      </x:c>
      <x:c r="BA283" s="12" t="n">
        <x:v>1</x:v>
      </x:c>
      <x:c r="BB283" s="12" t="n">
        <x:f>COUNTIFS($C$2:$C$344,C283,$AW$2:$AW$344,"&gt;"&amp;AW283,$G$2:$G$344,"&gt;0")+COUNTIFS($C$2:C283,C283,$AW$2:AW283,AW283,$G$2:G283,"&gt;0")</x:f>
        <x:v>5</x:v>
      </x:c>
      <x:c r="BC283" s="12" t="n">
        <x:v>5</x:v>
      </x:c>
      <x:c r="BD283" s="12" t="str">
        <x:f>IF(BB283&lt;BC283,"↑",IF(BB283&gt;BC283,"↓","→"))</x:f>
        <x:v>→</x:v>
      </x:c>
      <x:c r="BE283" s="23" t="str">
        <x:v>Fantasy Football Brief ROS baseline; official NFL schedule</x:v>
      </x:c>
      <x:c r="BF283" s="23" t="str">
        <x:v>Current role and availability baseline; all adjustment factors shown numerically</x:v>
      </x:c>
      <x:c r="BG283" s="23" t="str">
        <x:v>Material injury, depth-chart, or role change</x:v>
      </x:c>
      <x:c r="BH283" s="24" t="str">
        <x:v>2026-09-23 10:35 CT</x:v>
      </x:c>
    </x:row>
    <x:row r="284">
      <x:c r="A284" s="12" t="str">
        <x:v>Cameron Dicker</x:v>
      </x:c>
      <x:c r="B284" s="12" t="str">
        <x:v>LAC</x:v>
      </x:c>
      <x:c r="C284" s="12" t="str">
        <x:v>K</x:v>
      </x:c>
      <x:c r="D284" s="12" t="str">
        <x:v>BUF</x:v>
      </x:c>
      <x:c r="E284" s="12" t="str">
        <x:v>Away</x:v>
      </x:c>
      <x:c r="F284" s="12" t="str">
        <x:v>2026-09-27</x:v>
      </x:c>
      <x:c r="G284" s="19" t="n">
        <x:v>1</x:v>
      </x:c>
      <x:c r="H284" s="20" t="str">
        <x:v>ACTIVE</x:v>
      </x:c>
      <x:c r="I284" s="20" t="n">
        <x:v>10</x:v>
      </x:c>
      <x:c r="J284" s="20" t="str">
        <x:v>Scoring drives</x:v>
      </x:c>
      <x:c r="K284" s="20" t="n">
        <x:v>4.481927710843373</x:v>
      </x:c>
      <x:c r="L284" s="21" t="n">
        <x:v>0</x:v>
      </x:c>
      <x:c r="M284" s="21" t="n">
        <x:v>0</x:v>
      </x:c>
      <x:c r="N284" s="21" t="n">
        <x:v>0</x:v>
      </x:c>
      <x:c r="O284" s="21" t="n">
        <x:v>0</x:v>
      </x:c>
      <x:c r="P284" s="21" t="n">
        <x:v>0</x:v>
      </x:c>
      <x:c r="Q284" s="21" t="n">
        <x:v>0</x:v>
      </x:c>
      <x:c r="R284" s="21" t="n">
        <x:v>0</x:v>
      </x:c>
      <x:c r="S284" s="21" t="n">
        <x:v>0</x:v>
      </x:c>
      <x:c r="T284" s="21" t="n">
        <x:v>0</x:v>
      </x:c>
      <x:c r="U284" s="21" t="n">
        <x:v>0</x:v>
      </x:c>
      <x:c r="V284" s="21" t="n">
        <x:v>0</x:v>
      </x:c>
      <x:c r="W284" s="21" t="n">
        <x:v>0</x:v>
      </x:c>
      <x:c r="X284" s="21" t="n">
        <x:v>0</x:v>
      </x:c>
      <x:c r="Y284" s="21" t="n">
        <x:v>0</x:v>
      </x:c>
      <x:c r="Z284" s="21" t="n">
        <x:v>0</x:v>
      </x:c>
      <x:c r="AA284" s="21" t="n">
        <x:v>0</x:v>
      </x:c>
      <x:c r="AB284" s="21" t="n">
        <x:v>0</x:v>
      </x:c>
      <x:c r="AC284" s="21" t="n">
        <x:v>0.8691354216867471</x:v>
      </x:c>
      <x:c r="AD284" s="21" t="n">
        <x:v>0.5432096385542169</x:v>
      </x:c>
      <x:c r="AE284" s="21" t="n">
        <x:v>0.3259257831325301</x:v>
      </x:c>
      <x:c r="AF284" s="21" t="n">
        <x:v>2.607406265060241</x:v>
      </x:c>
      <x:c r="AG284" s="21" t="n">
        <x:v>0</x:v>
      </x:c>
      <x:c r="AH284" s="21" t="n">
        <x:v>0</x:v>
      </x:c>
      <x:c r="AI284" s="21" t="n">
        <x:v>0</x:v>
      </x:c>
      <x:c r="AJ284" s="21" t="n">
        <x:v>0</x:v>
      </x:c>
      <x:c r="AK284" s="21" t="n">
        <x:v>0</x:v>
      </x:c>
      <x:c r="AL284" s="21" t="n">
        <x:v>0</x:v>
      </x:c>
      <x:c r="AM284" s="21" t="n">
        <x:v>1</x:v>
      </x:c>
      <x:c r="AN284" s="21" t="n">
        <x:v>1</x:v>
      </x:c>
      <x:c r="AO284" s="21" t="n">
        <x:v>1</x:v>
      </x:c>
      <x:c r="AP284" s="21" t="n">
        <x:v>1.01</x:v>
      </x:c>
      <x:c r="AQ284" s="21" t="n">
        <x:v>0.96</x:v>
      </x:c>
      <x:c r="AR284" s="21" t="n">
        <x:v>1</x:v>
      </x:c>
      <x:c r="AS284" s="21" t="n">
        <x:v>1</x:v>
      </x:c>
      <x:c r="AT284" s="21" t="n">
        <x:v>1</x:v>
      </x:c>
      <x:c r="AU284" s="21" t="n">
        <x:v>0</x:v>
      </x:c>
      <x:c r="AV284" s="22" t="n">
        <x:f>IF(C284="QB",N284*0.04+O284*4-P284*2+R284*0.1+S284*6,IF(OR(C284="RB",C284="WR",C284="TE"),U284*0.1+V284*6+R284*0.1+S284*6+X284*0.5+Y284*0.1+Z284*6,IF(C284="K",AC284*3+AD284*4+AE284*5+AF284,IF(C284="DST",AG284+AH284*2+AI284*6+AL284,0))))</x:f>
        <x:v>9.017280000000001</x:v>
      </x:c>
      <x:c r="AW284" s="22" t="n">
        <x:f>(AV284+AU284)*G284</x:f>
        <x:v>9.017280000000001</x:v>
      </x:c>
      <x:c r="AX284" s="22" t="n">
        <x:f>MAX(0,AW284*IF(C284="QB",0.68,IF(C284="RB",0.58,IF(C284="WR",0.52,IF(C284="TE",0.50,IF(C284="K",0.55,0.40))))))</x:f>
        <x:v>4.959504000000001</x:v>
      </x:c>
      <x:c r="AY284" s="22" t="n">
        <x:f>AW284*IF(C284="QB",1.32,IF(C284="RB",1.45,IF(C284="WR",1.55,IF(C284="TE",1.60,IF(C284="K",1.45,1.65)))))</x:f>
        <x:v>13.075056000000002</x:v>
      </x:c>
      <x:c r="AZ284" s="12" t="str">
        <x:v>High</x:v>
      </x:c>
      <x:c r="BA284" s="12" t="n">
        <x:v>1</x:v>
      </x:c>
      <x:c r="BB284" s="12" t="n">
        <x:f>COUNTIFS($C$2:$C$344,C284,$AW$2:$AW$344,"&gt;"&amp;AW284,$G$2:$G$344,"&gt;0")+COUNTIFS($C$2:C284,C284,$AW$2:AW284,AW284,$G$2:G284,"&gt;0")</x:f>
        <x:v>6</x:v>
      </x:c>
      <x:c r="BC284" s="12" t="n">
        <x:v>6</x:v>
      </x:c>
      <x:c r="BD284" s="12" t="str">
        <x:f>IF(BB284&lt;BC284,"↑",IF(BB284&gt;BC284,"↓","→"))</x:f>
        <x:v>→</x:v>
      </x:c>
      <x:c r="BE284" s="23" t="str">
        <x:v>Fantasy Football Brief ROS baseline; official NFL schedule</x:v>
      </x:c>
      <x:c r="BF284" s="23" t="str">
        <x:v>Current role and availability baseline; all adjustment factors shown numerically</x:v>
      </x:c>
      <x:c r="BG284" s="23" t="str">
        <x:v>Material injury, depth-chart, or role change</x:v>
      </x:c>
      <x:c r="BH284" s="24" t="str">
        <x:v>2026-09-23 10:35 CT</x:v>
      </x:c>
    </x:row>
    <x:row r="285">
      <x:c r="A285" s="12" t="str">
        <x:v>Cam Little</x:v>
      </x:c>
      <x:c r="B285" s="12" t="str">
        <x:v>JAC</x:v>
      </x:c>
      <x:c r="C285" s="12" t="str">
        <x:v>K</x:v>
      </x:c>
      <x:c r="D285" s="12" t="str">
        <x:v>NE</x:v>
      </x:c>
      <x:c r="E285" s="12" t="str">
        <x:v>Home</x:v>
      </x:c>
      <x:c r="F285" s="12" t="str">
        <x:v>2026-09-27</x:v>
      </x:c>
      <x:c r="G285" s="19" t="n">
        <x:v>1</x:v>
      </x:c>
      <x:c r="H285" s="20" t="str">
        <x:v>ACTIVE</x:v>
      </x:c>
      <x:c r="I285" s="20" t="n">
        <x:v>10</x:v>
      </x:c>
      <x:c r="J285" s="20" t="str">
        <x:v>Scoring drives</x:v>
      </x:c>
      <x:c r="K285" s="20" t="n">
        <x:v>4.385542168674698</x:v>
      </x:c>
      <x:c r="L285" s="21" t="n">
        <x:v>0</x:v>
      </x:c>
      <x:c r="M285" s="21" t="n">
        <x:v>0</x:v>
      </x:c>
      <x:c r="N285" s="21" t="n">
        <x:v>0</x:v>
      </x:c>
      <x:c r="O285" s="21" t="n">
        <x:v>0</x:v>
      </x:c>
      <x:c r="P285" s="21" t="n">
        <x:v>0</x:v>
      </x:c>
      <x:c r="Q285" s="21" t="n">
        <x:v>0</x:v>
      </x:c>
      <x:c r="R285" s="21" t="n">
        <x:v>0</x:v>
      </x:c>
      <x:c r="S285" s="21" t="n">
        <x:v>0</x:v>
      </x:c>
      <x:c r="T285" s="21" t="n">
        <x:v>0</x:v>
      </x:c>
      <x:c r="U285" s="21" t="n">
        <x:v>0</x:v>
      </x:c>
      <x:c r="V285" s="21" t="n">
        <x:v>0</x:v>
      </x:c>
      <x:c r="W285" s="21" t="n">
        <x:v>0</x:v>
      </x:c>
      <x:c r="X285" s="21" t="n">
        <x:v>0</x:v>
      </x:c>
      <x:c r="Y285" s="21" t="n">
        <x:v>0</x:v>
      </x:c>
      <x:c r="Z285" s="21" t="n">
        <x:v>0</x:v>
      </x:c>
      <x:c r="AA285" s="21" t="n">
        <x:v>0</x:v>
      </x:c>
      <x:c r="AB285" s="21" t="n">
        <x:v>0</x:v>
      </x:c>
      <x:c r="AC285" s="21" t="n">
        <x:v>0.8683373493975903</x:v>
      </x:c>
      <x:c r="AD285" s="21" t="n">
        <x:v>0.542710843373494</x:v>
      </x:c>
      <x:c r="AE285" s="21" t="n">
        <x:v>0.3256265060240963</x:v>
      </x:c>
      <x:c r="AF285" s="21" t="n">
        <x:v>2.6050120481927705</x:v>
      </x:c>
      <x:c r="AG285" s="21" t="n">
        <x:v>0</x:v>
      </x:c>
      <x:c r="AH285" s="21" t="n">
        <x:v>0</x:v>
      </x:c>
      <x:c r="AI285" s="21" t="n">
        <x:v>0</x:v>
      </x:c>
      <x:c r="AJ285" s="21" t="n">
        <x:v>0</x:v>
      </x:c>
      <x:c r="AK285" s="21" t="n">
        <x:v>0</x:v>
      </x:c>
      <x:c r="AL285" s="21" t="n">
        <x:v>0</x:v>
      </x:c>
      <x:c r="AM285" s="21" t="n">
        <x:v>1</x:v>
      </x:c>
      <x:c r="AN285" s="21" t="n">
        <x:v>1</x:v>
      </x:c>
      <x:c r="AO285" s="21" t="n">
        <x:v>1</x:v>
      </x:c>
      <x:c r="AP285" s="21" t="n">
        <x:v>1</x:v>
      </x:c>
      <x:c r="AQ285" s="21" t="n">
        <x:v>0.99</x:v>
      </x:c>
      <x:c r="AR285" s="21" t="n">
        <x:v>1</x:v>
      </x:c>
      <x:c r="AS285" s="21" t="n">
        <x:v>1</x:v>
      </x:c>
      <x:c r="AT285" s="21" t="n">
        <x:v>1</x:v>
      </x:c>
      <x:c r="AU285" s="21" t="n">
        <x:v>0</x:v>
      </x:c>
      <x:c r="AV285" s="22" t="n">
        <x:f>IF(C285="QB",N285*0.04+O285*4-P285*2+R285*0.1+S285*6,IF(OR(C285="RB",C285="WR",C285="TE"),U285*0.1+V285*6+R285*0.1+S285*6+X285*0.5+Y285*0.1+Z285*6,IF(C285="K",AC285*3+AD285*4+AE285*5+AF285,IF(C285="DST",AG285+AH285*2+AI285*6+AL285,0))))</x:f>
        <x:v>9.008999999999999</x:v>
      </x:c>
      <x:c r="AW285" s="22" t="n">
        <x:f>(AV285+AU285)*G285</x:f>
        <x:v>9.008999999999999</x:v>
      </x:c>
      <x:c r="AX285" s="22" t="n">
        <x:f>MAX(0,AW285*IF(C285="QB",0.68,IF(C285="RB",0.58,IF(C285="WR",0.52,IF(C285="TE",0.50,IF(C285="K",0.55,0.40))))))</x:f>
        <x:v>4.954949999999999</x:v>
      </x:c>
      <x:c r="AY285" s="22" t="n">
        <x:f>AW285*IF(C285="QB",1.32,IF(C285="RB",1.45,IF(C285="WR",1.55,IF(C285="TE",1.60,IF(C285="K",1.45,1.65)))))</x:f>
        <x:v>13.063049999999997</x:v>
      </x:c>
      <x:c r="AZ285" s="12" t="str">
        <x:v>High</x:v>
      </x:c>
      <x:c r="BA285" s="12" t="n">
        <x:v>1</x:v>
      </x:c>
      <x:c r="BB285" s="12" t="n">
        <x:f>COUNTIFS($C$2:$C$344,C285,$AW$2:$AW$344,"&gt;"&amp;AW285,$G$2:$G$344,"&gt;0")+COUNTIFS($C$2:C285,C285,$AW$2:AW285,AW285,$G$2:G285,"&gt;0")</x:f>
        <x:v>7</x:v>
      </x:c>
      <x:c r="BC285" s="12" t="n">
        <x:v>7</x:v>
      </x:c>
      <x:c r="BD285" s="12" t="str">
        <x:f>IF(BB285&lt;BC285,"↑",IF(BB285&gt;BC285,"↓","→"))</x:f>
        <x:v>→</x:v>
      </x:c>
      <x:c r="BE285" s="23" t="str">
        <x:v>Fantasy Football Brief ROS baseline; official NFL schedule</x:v>
      </x:c>
      <x:c r="BF285" s="23" t="str">
        <x:v>Current role and availability baseline; all adjustment factors shown numerically</x:v>
      </x:c>
      <x:c r="BG285" s="23" t="str">
        <x:v>Material injury, depth-chart, or role change</x:v>
      </x:c>
      <x:c r="BH285" s="24" t="str">
        <x:v>2026-09-23 10:35 CT</x:v>
      </x:c>
    </x:row>
    <x:row r="286">
      <x:c r="A286" s="12" t="str">
        <x:v>Chris Boswell</x:v>
      </x:c>
      <x:c r="B286" s="12" t="str">
        <x:v>PIT</x:v>
      </x:c>
      <x:c r="C286" s="12" t="str">
        <x:v>K</x:v>
      </x:c>
      <x:c r="D286" s="12" t="str">
        <x:v>CIN</x:v>
      </x:c>
      <x:c r="E286" s="12" t="str">
        <x:v>Home</x:v>
      </x:c>
      <x:c r="F286" s="12" t="str">
        <x:v>2026-09-27</x:v>
      </x:c>
      <x:c r="G286" s="19" t="n">
        <x:v>1</x:v>
      </x:c>
      <x:c r="H286" s="20" t="str">
        <x:v>ACTIVE</x:v>
      </x:c>
      <x:c r="I286" s="20" t="n">
        <x:v>10</x:v>
      </x:c>
      <x:c r="J286" s="20" t="str">
        <x:v>Scoring drives</x:v>
      </x:c>
      <x:c r="K286" s="20" t="n">
        <x:v>4.337349397590361</x:v>
      </x:c>
      <x:c r="L286" s="21" t="n">
        <x:v>0</x:v>
      </x:c>
      <x:c r="M286" s="21" t="n">
        <x:v>0</x:v>
      </x:c>
      <x:c r="N286" s="21" t="n">
        <x:v>0</x:v>
      </x:c>
      <x:c r="O286" s="21" t="n">
        <x:v>0</x:v>
      </x:c>
      <x:c r="P286" s="21" t="n">
        <x:v>0</x:v>
      </x:c>
      <x:c r="Q286" s="21" t="n">
        <x:v>0</x:v>
      </x:c>
      <x:c r="R286" s="21" t="n">
        <x:v>0</x:v>
      </x:c>
      <x:c r="S286" s="21" t="n">
        <x:v>0</x:v>
      </x:c>
      <x:c r="T286" s="21" t="n">
        <x:v>0</x:v>
      </x:c>
      <x:c r="U286" s="21" t="n">
        <x:v>0</x:v>
      </x:c>
      <x:c r="V286" s="21" t="n">
        <x:v>0</x:v>
      </x:c>
      <x:c r="W286" s="21" t="n">
        <x:v>0</x:v>
      </x:c>
      <x:c r="X286" s="21" t="n">
        <x:v>0</x:v>
      </x:c>
      <x:c r="Y286" s="21" t="n">
        <x:v>0</x:v>
      </x:c>
      <x:c r="Z286" s="21" t="n">
        <x:v>0</x:v>
      </x:c>
      <x:c r="AA286" s="21" t="n">
        <x:v>0</x:v>
      </x:c>
      <x:c r="AB286" s="21" t="n">
        <x:v>0</x:v>
      </x:c>
      <x:c r="AC286" s="21" t="n">
        <x:v>0.8587951807228916</x:v>
      </x:c>
      <x:c r="AD286" s="21" t="n">
        <x:v>0.5367469879518072</x:v>
      </x:c>
      <x:c r="AE286" s="21" t="n">
        <x:v>0.3220481927710843</x:v>
      </x:c>
      <x:c r="AF286" s="21" t="n">
        <x:v>2.5763855421686745</x:v>
      </x:c>
      <x:c r="AG286" s="21" t="n">
        <x:v>0</x:v>
      </x:c>
      <x:c r="AH286" s="21" t="n">
        <x:v>0</x:v>
      </x:c>
      <x:c r="AI286" s="21" t="n">
        <x:v>0</x:v>
      </x:c>
      <x:c r="AJ286" s="21" t="n">
        <x:v>0</x:v>
      </x:c>
      <x:c r="AK286" s="21" t="n">
        <x:v>0</x:v>
      </x:c>
      <x:c r="AL286" s="21" t="n">
        <x:v>0</x:v>
      </x:c>
      <x:c r="AM286" s="21" t="n">
        <x:v>1</x:v>
      </x:c>
      <x:c r="AN286" s="21" t="n">
        <x:v>1</x:v>
      </x:c>
      <x:c r="AO286" s="21" t="n">
        <x:v>1</x:v>
      </x:c>
      <x:c r="AP286" s="21" t="n">
        <x:v>0.99</x:v>
      </x:c>
      <x:c r="AQ286" s="21" t="n">
        <x:v>1</x:v>
      </x:c>
      <x:c r="AR286" s="21" t="n">
        <x:v>1</x:v>
      </x:c>
      <x:c r="AS286" s="21" t="n">
        <x:v>1</x:v>
      </x:c>
      <x:c r="AT286" s="21" t="n">
        <x:v>1</x:v>
      </x:c>
      <x:c r="AU286" s="21" t="n">
        <x:v>0</x:v>
      </x:c>
      <x:c r="AV286" s="22" t="n">
        <x:f>IF(C286="QB",N286*0.04+O286*4-P286*2+R286*0.1+S286*6,IF(OR(C286="RB",C286="WR",C286="TE"),U286*0.1+V286*6+R286*0.1+S286*6+X286*0.5+Y286*0.1+Z286*6,IF(C286="K",AC286*3+AD286*4+AE286*5+AF286,IF(C286="DST",AG286+AH286*2+AI286*6+AL286,0))))</x:f>
        <x:v>8.91</x:v>
      </x:c>
      <x:c r="AW286" s="22" t="n">
        <x:f>(AV286+AU286)*G286</x:f>
        <x:v>8.91</x:v>
      </x:c>
      <x:c r="AX286" s="22" t="n">
        <x:f>MAX(0,AW286*IF(C286="QB",0.68,IF(C286="RB",0.58,IF(C286="WR",0.52,IF(C286="TE",0.50,IF(C286="K",0.55,0.40))))))</x:f>
        <x:v>4.9005</x:v>
      </x:c>
      <x:c r="AY286" s="22" t="n">
        <x:f>AW286*IF(C286="QB",1.32,IF(C286="RB",1.45,IF(C286="WR",1.55,IF(C286="TE",1.60,IF(C286="K",1.45,1.65)))))</x:f>
        <x:v>12.9195</x:v>
      </x:c>
      <x:c r="AZ286" s="12" t="str">
        <x:v>High</x:v>
      </x:c>
      <x:c r="BA286" s="12" t="n">
        <x:v>1</x:v>
      </x:c>
      <x:c r="BB286" s="12" t="n">
        <x:f>COUNTIFS($C$2:$C$344,C286,$AW$2:$AW$344,"&gt;"&amp;AW286,$G$2:$G$344,"&gt;0")+COUNTIFS($C$2:C286,C286,$AW$2:AW286,AW286,$G$2:G286,"&gt;0")</x:f>
        <x:v>8</x:v>
      </x:c>
      <x:c r="BC286" s="12" t="n">
        <x:v>8</x:v>
      </x:c>
      <x:c r="BD286" s="12" t="str">
        <x:f>IF(BB286&lt;BC286,"↑",IF(BB286&gt;BC286,"↓","→"))</x:f>
        <x:v>→</x:v>
      </x:c>
      <x:c r="BE286" s="23" t="str">
        <x:v>Fantasy Football Brief ROS baseline; official NFL schedule</x:v>
      </x:c>
      <x:c r="BF286" s="23" t="str">
        <x:v>Current role and availability baseline; all adjustment factors shown numerically</x:v>
      </x:c>
      <x:c r="BG286" s="23" t="str">
        <x:v>Material injury, depth-chart, or role change</x:v>
      </x:c>
      <x:c r="BH286" s="24" t="str">
        <x:v>2026-09-23 10:35 CT</x:v>
      </x:c>
    </x:row>
    <x:row r="287">
      <x:c r="A287" s="12" t="str">
        <x:v>Brandon Aubrey</x:v>
      </x:c>
      <x:c r="B287" s="12" t="str">
        <x:v>DAL</x:v>
      </x:c>
      <x:c r="C287" s="12" t="str">
        <x:v>K</x:v>
      </x:c>
      <x:c r="D287" s="12" t="str">
        <x:v>BAL</x:v>
      </x:c>
      <x:c r="E287" s="12" t="str">
        <x:v>Home</x:v>
      </x:c>
      <x:c r="F287" s="12" t="str">
        <x:v>2026-09-27</x:v>
      </x:c>
      <x:c r="G287" s="19" t="n">
        <x:v>1</x:v>
      </x:c>
      <x:c r="H287" s="20" t="str">
        <x:v>ACTIVE</x:v>
      </x:c>
      <x:c r="I287" s="20" t="n">
        <x:v>10</x:v>
      </x:c>
      <x:c r="J287" s="20" t="str">
        <x:v>Scoring drives</x:v>
      </x:c>
      <x:c r="K287" s="20" t="n">
        <x:v>4.53012048192771</x:v>
      </x:c>
      <x:c r="L287" s="21" t="n">
        <x:v>0</x:v>
      </x:c>
      <x:c r="M287" s="21" t="n">
        <x:v>0</x:v>
      </x:c>
      <x:c r="N287" s="21" t="n">
        <x:v>0</x:v>
      </x:c>
      <x:c r="O287" s="21" t="n">
        <x:v>0</x:v>
      </x:c>
      <x:c r="P287" s="21" t="n">
        <x:v>0</x:v>
      </x:c>
      <x:c r="Q287" s="21" t="n">
        <x:v>0</x:v>
      </x:c>
      <x:c r="R287" s="21" t="n">
        <x:v>0</x:v>
      </x:c>
      <x:c r="S287" s="21" t="n">
        <x:v>0</x:v>
      </x:c>
      <x:c r="T287" s="21" t="n">
        <x:v>0</x:v>
      </x:c>
      <x:c r="U287" s="21" t="n">
        <x:v>0</x:v>
      </x:c>
      <x:c r="V287" s="21" t="n">
        <x:v>0</x:v>
      </x:c>
      <x:c r="W287" s="21" t="n">
        <x:v>0</x:v>
      </x:c>
      <x:c r="X287" s="21" t="n">
        <x:v>0</x:v>
      </x:c>
      <x:c r="Y287" s="21" t="n">
        <x:v>0</x:v>
      </x:c>
      <x:c r="Z287" s="21" t="n">
        <x:v>0</x:v>
      </x:c>
      <x:c r="AA287" s="21" t="n">
        <x:v>0</x:v>
      </x:c>
      <x:c r="AB287" s="21" t="n">
        <x:v>0</x:v>
      </x:c>
      <x:c r="AC287" s="21" t="n">
        <x:v>0.8516626506024095</x:v>
      </x:c>
      <x:c r="AD287" s="21" t="n">
        <x:v>0.5322891566265059</x:v>
      </x:c>
      <x:c r="AE287" s="21" t="n">
        <x:v>0.31937349397590353</x:v>
      </x:c>
      <x:c r="AF287" s="21" t="n">
        <x:v>2.5549879518072283</x:v>
      </x:c>
      <x:c r="AG287" s="21" t="n">
        <x:v>0</x:v>
      </x:c>
      <x:c r="AH287" s="21" t="n">
        <x:v>0</x:v>
      </x:c>
      <x:c r="AI287" s="21" t="n">
        <x:v>0</x:v>
      </x:c>
      <x:c r="AJ287" s="21" t="n">
        <x:v>0</x:v>
      </x:c>
      <x:c r="AK287" s="21" t="n">
        <x:v>0</x:v>
      </x:c>
      <x:c r="AL287" s="21" t="n">
        <x:v>0</x:v>
      </x:c>
      <x:c r="AM287" s="21" t="n">
        <x:v>1</x:v>
      </x:c>
      <x:c r="AN287" s="21" t="n">
        <x:v>1</x:v>
      </x:c>
      <x:c r="AO287" s="21" t="n">
        <x:v>1</x:v>
      </x:c>
      <x:c r="AP287" s="21" t="n">
        <x:v>1</x:v>
      </x:c>
      <x:c r="AQ287" s="21" t="n">
        <x:v>0.94</x:v>
      </x:c>
      <x:c r="AR287" s="21" t="n">
        <x:v>1</x:v>
      </x:c>
      <x:c r="AS287" s="21" t="n">
        <x:v>1</x:v>
      </x:c>
      <x:c r="AT287" s="21" t="n">
        <x:v>1</x:v>
      </x:c>
      <x:c r="AU287" s="21" t="n">
        <x:v>0</x:v>
      </x:c>
      <x:c r="AV287" s="22" t="n">
        <x:f>IF(C287="QB",N287*0.04+O287*4-P287*2+R287*0.1+S287*6,IF(OR(C287="RB",C287="WR",C287="TE"),U287*0.1+V287*6+R287*0.1+S287*6+X287*0.5+Y287*0.1+Z287*6,IF(C287="K",AC287*3+AD287*4+AE287*5+AF287,IF(C287="DST",AG287+AH287*2+AI287*6+AL287,0))))</x:f>
        <x:v>8.835999999999999</x:v>
      </x:c>
      <x:c r="AW287" s="22" t="n">
        <x:f>(AV287+AU287)*G287</x:f>
        <x:v>8.835999999999999</x:v>
      </x:c>
      <x:c r="AX287" s="22" t="n">
        <x:f>MAX(0,AW287*IF(C287="QB",0.68,IF(C287="RB",0.58,IF(C287="WR",0.52,IF(C287="TE",0.50,IF(C287="K",0.55,0.40))))))</x:f>
        <x:v>4.8598</x:v>
      </x:c>
      <x:c r="AY287" s="22" t="n">
        <x:f>AW287*IF(C287="QB",1.32,IF(C287="RB",1.45,IF(C287="WR",1.55,IF(C287="TE",1.60,IF(C287="K",1.45,1.65)))))</x:f>
        <x:v>12.812199999999997</x:v>
      </x:c>
      <x:c r="AZ287" s="12" t="str">
        <x:v>High</x:v>
      </x:c>
      <x:c r="BA287" s="12" t="n">
        <x:v>2</x:v>
      </x:c>
      <x:c r="BB287" s="12" t="n">
        <x:f>COUNTIFS($C$2:$C$344,C287,$AW$2:$AW$344,"&gt;"&amp;AW287,$G$2:$G$344,"&gt;0")+COUNTIFS($C$2:C287,C287,$AW$2:AW287,AW287,$G$2:G287,"&gt;0")</x:f>
        <x:v>9</x:v>
      </x:c>
      <x:c r="BC287" s="12" t="n">
        <x:v>9</x:v>
      </x:c>
      <x:c r="BD287" s="12" t="str">
        <x:f>IF(BB287&lt;BC287,"↑",IF(BB287&gt;BC287,"↓","→"))</x:f>
        <x:v>→</x:v>
      </x:c>
      <x:c r="BE287" s="23" t="str">
        <x:v>Fantasy Football Brief ROS baseline; official NFL schedule</x:v>
      </x:c>
      <x:c r="BF287" s="23" t="str">
        <x:v>Current role and availability baseline; all adjustment factors shown numerically</x:v>
      </x:c>
      <x:c r="BG287" s="23" t="str">
        <x:v>Material injury, depth-chart, or role change</x:v>
      </x:c>
      <x:c r="BH287" s="24" t="str">
        <x:v>2026-09-23 10:35 CT</x:v>
      </x:c>
    </x:row>
    <x:row r="288">
      <x:c r="A288" s="12" t="str">
        <x:v>Eddy Pineiro</x:v>
      </x:c>
      <x:c r="B288" s="12" t="str">
        <x:v>SF</x:v>
      </x:c>
      <x:c r="C288" s="12" t="str">
        <x:v>K</x:v>
      </x:c>
      <x:c r="D288" s="12" t="str">
        <x:v>ARI</x:v>
      </x:c>
      <x:c r="E288" s="12" t="str">
        <x:v>Home</x:v>
      </x:c>
      <x:c r="F288" s="12" t="str">
        <x:v>2026-09-27</x:v>
      </x:c>
      <x:c r="G288" s="19" t="n">
        <x:v>1</x:v>
      </x:c>
      <x:c r="H288" s="20" t="str">
        <x:v>ACTIVE</x:v>
      </x:c>
      <x:c r="I288" s="20" t="n">
        <x:v>10</x:v>
      </x:c>
      <x:c r="J288" s="20" t="str">
        <x:v>Scoring drives</x:v>
      </x:c>
      <x:c r="K288" s="20" t="n">
        <x:v>4.144578313253011</x:v>
      </x:c>
      <x:c r="L288" s="21" t="n">
        <x:v>0</x:v>
      </x:c>
      <x:c r="M288" s="21" t="n">
        <x:v>0</x:v>
      </x:c>
      <x:c r="N288" s="21" t="n">
        <x:v>0</x:v>
      </x:c>
      <x:c r="O288" s="21" t="n">
        <x:v>0</x:v>
      </x:c>
      <x:c r="P288" s="21" t="n">
        <x:v>0</x:v>
      </x:c>
      <x:c r="Q288" s="21" t="n">
        <x:v>0</x:v>
      </x:c>
      <x:c r="R288" s="21" t="n">
        <x:v>0</x:v>
      </x:c>
      <x:c r="S288" s="21" t="n">
        <x:v>0</x:v>
      </x:c>
      <x:c r="T288" s="21" t="n">
        <x:v>0</x:v>
      </x:c>
      <x:c r="U288" s="21" t="n">
        <x:v>0</x:v>
      </x:c>
      <x:c r="V288" s="21" t="n">
        <x:v>0</x:v>
      </x:c>
      <x:c r="W288" s="21" t="n">
        <x:v>0</x:v>
      </x:c>
      <x:c r="X288" s="21" t="n">
        <x:v>0</x:v>
      </x:c>
      <x:c r="Y288" s="21" t="n">
        <x:v>0</x:v>
      </x:c>
      <x:c r="Z288" s="21" t="n">
        <x:v>0</x:v>
      </x:c>
      <x:c r="AA288" s="21" t="n">
        <x:v>0</x:v>
      </x:c>
      <x:c r="AB288" s="21" t="n">
        <x:v>0</x:v>
      </x:c>
      <x:c r="AC288" s="21" t="n">
        <x:v>0.8454939759036143</x:v>
      </x:c>
      <x:c r="AD288" s="21" t="n">
        <x:v>0.528433734939759</x:v>
      </x:c>
      <x:c r="AE288" s="21" t="n">
        <x:v>0.3170602409638554</x:v>
      </x:c>
      <x:c r="AF288" s="21" t="n">
        <x:v>2.536481927710843</x:v>
      </x:c>
      <x:c r="AG288" s="21" t="n">
        <x:v>0</x:v>
      </x:c>
      <x:c r="AH288" s="21" t="n">
        <x:v>0</x:v>
      </x:c>
      <x:c r="AI288" s="21" t="n">
        <x:v>0</x:v>
      </x:c>
      <x:c r="AJ288" s="21" t="n">
        <x:v>0</x:v>
      </x:c>
      <x:c r="AK288" s="21" t="n">
        <x:v>0</x:v>
      </x:c>
      <x:c r="AL288" s="21" t="n">
        <x:v>0</x:v>
      </x:c>
      <x:c r="AM288" s="21" t="n">
        <x:v>1</x:v>
      </x:c>
      <x:c r="AN288" s="21" t="n">
        <x:v>1</x:v>
      </x:c>
      <x:c r="AO288" s="21" t="n">
        <x:v>1</x:v>
      </x:c>
      <x:c r="AP288" s="21" t="n">
        <x:v>1.02</x:v>
      </x:c>
      <x:c r="AQ288" s="21" t="n">
        <x:v>1</x:v>
      </x:c>
      <x:c r="AR288" s="21" t="n">
        <x:v>1</x:v>
      </x:c>
      <x:c r="AS288" s="21" t="n">
        <x:v>1</x:v>
      </x:c>
      <x:c r="AT288" s="21" t="n">
        <x:v>1</x:v>
      </x:c>
      <x:c r="AU288" s="21" t="n">
        <x:v>0</x:v>
      </x:c>
      <x:c r="AV288" s="22" t="n">
        <x:f>IF(C288="QB",N288*0.04+O288*4-P288*2+R288*0.1+S288*6,IF(OR(C288="RB",C288="WR",C288="TE"),U288*0.1+V288*6+R288*0.1+S288*6+X288*0.5+Y288*0.1+Z288*6,IF(C288="K",AC288*3+AD288*4+AE288*5+AF288,IF(C288="DST",AG288+AH288*2+AI288*6+AL288,0))))</x:f>
        <x:v>8.772</x:v>
      </x:c>
      <x:c r="AW288" s="22" t="n">
        <x:f>(AV288+AU288)*G288</x:f>
        <x:v>8.772</x:v>
      </x:c>
      <x:c r="AX288" s="22" t="n">
        <x:f>MAX(0,AW288*IF(C288="QB",0.68,IF(C288="RB",0.58,IF(C288="WR",0.52,IF(C288="TE",0.50,IF(C288="K",0.55,0.40))))))</x:f>
        <x:v>4.8246</x:v>
      </x:c>
      <x:c r="AY288" s="22" t="n">
        <x:f>AW288*IF(C288="QB",1.32,IF(C288="RB",1.45,IF(C288="WR",1.55,IF(C288="TE",1.60,IF(C288="K",1.45,1.65)))))</x:f>
        <x:v>12.7194</x:v>
      </x:c>
      <x:c r="AZ288" s="12" t="str">
        <x:v>High</x:v>
      </x:c>
      <x:c r="BA288" s="12" t="n">
        <x:v>2</x:v>
      </x:c>
      <x:c r="BB288" s="12" t="n">
        <x:f>COUNTIFS($C$2:$C$344,C288,$AW$2:$AW$344,"&gt;"&amp;AW288,$G$2:$G$344,"&gt;0")+COUNTIFS($C$2:C288,C288,$AW$2:AW288,AW288,$G$2:G288,"&gt;0")</x:f>
        <x:v>10</x:v>
      </x:c>
      <x:c r="BC288" s="12" t="n">
        <x:v>10</x:v>
      </x:c>
      <x:c r="BD288" s="12" t="str">
        <x:f>IF(BB288&lt;BC288,"↑",IF(BB288&gt;BC288,"↓","→"))</x:f>
        <x:v>→</x:v>
      </x:c>
      <x:c r="BE288" s="23" t="str">
        <x:v>Fantasy Football Brief ROS baseline; official NFL schedule</x:v>
      </x:c>
      <x:c r="BF288" s="23" t="str">
        <x:v>Current role and availability baseline; all adjustment factors shown numerically</x:v>
      </x:c>
      <x:c r="BG288" s="23" t="str">
        <x:v>Material injury, depth-chart, or role change</x:v>
      </x:c>
      <x:c r="BH288" s="24" t="str">
        <x:v>2026-09-23 10:35 CT</x:v>
      </x:c>
    </x:row>
    <x:row r="289">
      <x:c r="A289" s="12" t="str">
        <x:v>Will Reichard</x:v>
      </x:c>
      <x:c r="B289" s="12" t="str">
        <x:v>MIN</x:v>
      </x:c>
      <x:c r="C289" s="12" t="str">
        <x:v>K</x:v>
      </x:c>
      <x:c r="D289" s="12" t="str">
        <x:v>TB</x:v>
      </x:c>
      <x:c r="E289" s="12" t="str">
        <x:v>Away</x:v>
      </x:c>
      <x:c r="F289" s="12" t="str">
        <x:v>2026-09-27</x:v>
      </x:c>
      <x:c r="G289" s="19" t="n">
        <x:v>1</x:v>
      </x:c>
      <x:c r="H289" s="20" t="str">
        <x:v>ACTIVE</x:v>
      </x:c>
      <x:c r="I289" s="20" t="n">
        <x:v>10</x:v>
      </x:c>
      <x:c r="J289" s="20" t="str">
        <x:v>Scoring drives</x:v>
      </x:c>
      <x:c r="K289" s="20" t="n">
        <x:v>4.192771084337349</x:v>
      </x:c>
      <x:c r="L289" s="21" t="n">
        <x:v>0</x:v>
      </x:c>
      <x:c r="M289" s="21" t="n">
        <x:v>0</x:v>
      </x:c>
      <x:c r="N289" s="21" t="n">
        <x:v>0</x:v>
      </x:c>
      <x:c r="O289" s="21" t="n">
        <x:v>0</x:v>
      </x:c>
      <x:c r="P289" s="21" t="n">
        <x:v>0</x:v>
      </x:c>
      <x:c r="Q289" s="21" t="n">
        <x:v>0</x:v>
      </x:c>
      <x:c r="R289" s="21" t="n">
        <x:v>0</x:v>
      </x:c>
      <x:c r="S289" s="21" t="n">
        <x:v>0</x:v>
      </x:c>
      <x:c r="T289" s="21" t="n">
        <x:v>0</x:v>
      </x:c>
      <x:c r="U289" s="21" t="n">
        <x:v>0</x:v>
      </x:c>
      <x:c r="V289" s="21" t="n">
        <x:v>0</x:v>
      </x:c>
      <x:c r="W289" s="21" t="n">
        <x:v>0</x:v>
      </x:c>
      <x:c r="X289" s="21" t="n">
        <x:v>0</x:v>
      </x:c>
      <x:c r="Y289" s="21" t="n">
        <x:v>0</x:v>
      </x:c>
      <x:c r="Z289" s="21" t="n">
        <x:v>0</x:v>
      </x:c>
      <x:c r="AA289" s="21" t="n">
        <x:v>0</x:v>
      </x:c>
      <x:c r="AB289" s="21" t="n">
        <x:v>0</x:v>
      </x:c>
      <x:c r="AC289" s="21" t="n">
        <x:v>0.8384703614457831</x:v>
      </x:c>
      <x:c r="AD289" s="21" t="n">
        <x:v>0.5240439759036144</x:v>
      </x:c>
      <x:c r="AE289" s="21" t="n">
        <x:v>0.3144263855421687</x:v>
      </x:c>
      <x:c r="AF289" s="21" t="n">
        <x:v>2.5154110843373494</x:v>
      </x:c>
      <x:c r="AG289" s="21" t="n">
        <x:v>0</x:v>
      </x:c>
      <x:c r="AH289" s="21" t="n">
        <x:v>0</x:v>
      </x:c>
      <x:c r="AI289" s="21" t="n">
        <x:v>0</x:v>
      </x:c>
      <x:c r="AJ289" s="21" t="n">
        <x:v>0</x:v>
      </x:c>
      <x:c r="AK289" s="21" t="n">
        <x:v>0</x:v>
      </x:c>
      <x:c r="AL289" s="21" t="n">
        <x:v>0</x:v>
      </x:c>
      <x:c r="AM289" s="21" t="n">
        <x:v>1</x:v>
      </x:c>
      <x:c r="AN289" s="21" t="n">
        <x:v>1</x:v>
      </x:c>
      <x:c r="AO289" s="21" t="n">
        <x:v>1</x:v>
      </x:c>
      <x:c r="AP289" s="21" t="n">
        <x:v>0.99</x:v>
      </x:c>
      <x:c r="AQ289" s="21" t="n">
        <x:v>1.01</x:v>
      </x:c>
      <x:c r="AR289" s="21" t="n">
        <x:v>1</x:v>
      </x:c>
      <x:c r="AS289" s="21" t="n">
        <x:v>1</x:v>
      </x:c>
      <x:c r="AT289" s="21" t="n">
        <x:v>1</x:v>
      </x:c>
      <x:c r="AU289" s="21" t="n">
        <x:v>0</x:v>
      </x:c>
      <x:c r="AV289" s="22" t="n">
        <x:f>IF(C289="QB",N289*0.04+O289*4-P289*2+R289*0.1+S289*6,IF(OR(C289="RB",C289="WR",C289="TE"),U289*0.1+V289*6+R289*0.1+S289*6+X289*0.5+Y289*0.1+Z289*6,IF(C289="K",AC289*3+AD289*4+AE289*5+AF289,IF(C289="DST",AG289+AH289*2+AI289*6+AL289,0))))</x:f>
        <x:v>8.69913</x:v>
      </x:c>
      <x:c r="AW289" s="22" t="n">
        <x:f>(AV289+AU289)*G289</x:f>
        <x:v>8.69913</x:v>
      </x:c>
      <x:c r="AX289" s="22" t="n">
        <x:f>MAX(0,AW289*IF(C289="QB",0.68,IF(C289="RB",0.58,IF(C289="WR",0.52,IF(C289="TE",0.50,IF(C289="K",0.55,0.40))))))</x:f>
        <x:v>4.7845215</x:v>
      </x:c>
      <x:c r="AY289" s="22" t="n">
        <x:f>AW289*IF(C289="QB",1.32,IF(C289="RB",1.45,IF(C289="WR",1.55,IF(C289="TE",1.60,IF(C289="K",1.45,1.65)))))</x:f>
        <x:v>12.6137385</x:v>
      </x:c>
      <x:c r="AZ289" s="12" t="str">
        <x:v>High</x:v>
      </x:c>
      <x:c r="BA289" s="12" t="n">
        <x:v>2</x:v>
      </x:c>
      <x:c r="BB289" s="12" t="n">
        <x:f>COUNTIFS($C$2:$C$344,C289,$AW$2:$AW$344,"&gt;"&amp;AW289,$G$2:$G$344,"&gt;0")+COUNTIFS($C$2:C289,C289,$AW$2:AW289,AW289,$G$2:G289,"&gt;0")</x:f>
        <x:v>11</x:v>
      </x:c>
      <x:c r="BC289" s="12" t="n">
        <x:v>11</x:v>
      </x:c>
      <x:c r="BD289" s="12" t="str">
        <x:f>IF(BB289&lt;BC289,"↑",IF(BB289&gt;BC289,"↓","→"))</x:f>
        <x:v>→</x:v>
      </x:c>
      <x:c r="BE289" s="23" t="str">
        <x:v>Fantasy Football Brief ROS baseline; official NFL schedule</x:v>
      </x:c>
      <x:c r="BF289" s="23" t="str">
        <x:v>Current role and availability baseline; all adjustment factors shown numerically</x:v>
      </x:c>
      <x:c r="BG289" s="23" t="str">
        <x:v>Material injury, depth-chart, or role change</x:v>
      </x:c>
      <x:c r="BH289" s="24" t="str">
        <x:v>2026-09-23 10:35 CT</x:v>
      </x:c>
    </x:row>
    <x:row r="290">
      <x:c r="A290" s="12" t="str">
        <x:v>Harrison Mevis</x:v>
      </x:c>
      <x:c r="B290" s="12" t="str">
        <x:v>LAR</x:v>
      </x:c>
      <x:c r="C290" s="12" t="str">
        <x:v>K</x:v>
      </x:c>
      <x:c r="D290" s="12" t="str">
        <x:v>DEN</x:v>
      </x:c>
      <x:c r="E290" s="12" t="str">
        <x:v>Away</x:v>
      </x:c>
      <x:c r="F290" s="12" t="str">
        <x:v>2026-09-27</x:v>
      </x:c>
      <x:c r="G290" s="19" t="n">
        <x:v>1</x:v>
      </x:c>
      <x:c r="H290" s="20" t="str">
        <x:v>ACTIVE</x:v>
      </x:c>
      <x:c r="I290" s="20" t="n">
        <x:v>10</x:v>
      </x:c>
      <x:c r="J290" s="20" t="str">
        <x:v>Scoring drives</x:v>
      </x:c>
      <x:c r="K290" s="20" t="n">
        <x:v>4.385542168674698</x:v>
      </x:c>
      <x:c r="L290" s="21" t="n">
        <x:v>0</x:v>
      </x:c>
      <x:c r="M290" s="21" t="n">
        <x:v>0</x:v>
      </x:c>
      <x:c r="N290" s="21" t="n">
        <x:v>0</x:v>
      </x:c>
      <x:c r="O290" s="21" t="n">
        <x:v>0</x:v>
      </x:c>
      <x:c r="P290" s="21" t="n">
        <x:v>0</x:v>
      </x:c>
      <x:c r="Q290" s="21" t="n">
        <x:v>0</x:v>
      </x:c>
      <x:c r="R290" s="21" t="n">
        <x:v>0</x:v>
      </x:c>
      <x:c r="S290" s="21" t="n">
        <x:v>0</x:v>
      </x:c>
      <x:c r="T290" s="21" t="n">
        <x:v>0</x:v>
      </x:c>
      <x:c r="U290" s="21" t="n">
        <x:v>0</x:v>
      </x:c>
      <x:c r="V290" s="21" t="n">
        <x:v>0</x:v>
      </x:c>
      <x:c r="W290" s="21" t="n">
        <x:v>0</x:v>
      </x:c>
      <x:c r="X290" s="21" t="n">
        <x:v>0</x:v>
      </x:c>
      <x:c r="Y290" s="21" t="n">
        <x:v>0</x:v>
      </x:c>
      <x:c r="Z290" s="21" t="n">
        <x:v>0</x:v>
      </x:c>
      <x:c r="AA290" s="21" t="n">
        <x:v>0</x:v>
      </x:c>
      <x:c r="AB290" s="21" t="n">
        <x:v>0</x:v>
      </x:c>
      <x:c r="AC290" s="21" t="n">
        <x:v>0.831147951807229</x:v>
      </x:c>
      <x:c r="AD290" s="21" t="n">
        <x:v>0.5194674698795181</x:v>
      </x:c>
      <x:c r="AE290" s="21" t="n">
        <x:v>0.3116804819277108</x:v>
      </x:c>
      <x:c r="AF290" s="21" t="n">
        <x:v>2.4934438554216865</x:v>
      </x:c>
      <x:c r="AG290" s="21" t="n">
        <x:v>0</x:v>
      </x:c>
      <x:c r="AH290" s="21" t="n">
        <x:v>0</x:v>
      </x:c>
      <x:c r="AI290" s="21" t="n">
        <x:v>0</x:v>
      </x:c>
      <x:c r="AJ290" s="21" t="n">
        <x:v>0</x:v>
      </x:c>
      <x:c r="AK290" s="21" t="n">
        <x:v>0</x:v>
      </x:c>
      <x:c r="AL290" s="21" t="n">
        <x:v>0</x:v>
      </x:c>
      <x:c r="AM290" s="21" t="n">
        <x:v>1</x:v>
      </x:c>
      <x:c r="AN290" s="21" t="n">
        <x:v>1</x:v>
      </x:c>
      <x:c r="AO290" s="21" t="n">
        <x:v>1</x:v>
      </x:c>
      <x:c r="AP290" s="21" t="n">
        <x:v>1.03</x:v>
      </x:c>
      <x:c r="AQ290" s="21" t="n">
        <x:v>0.92</x:v>
      </x:c>
      <x:c r="AR290" s="21" t="n">
        <x:v>1</x:v>
      </x:c>
      <x:c r="AS290" s="21" t="n">
        <x:v>1</x:v>
      </x:c>
      <x:c r="AT290" s="21" t="n">
        <x:v>1</x:v>
      </x:c>
      <x:c r="AU290" s="21" t="n">
        <x:v>0</x:v>
      </x:c>
      <x:c r="AV290" s="22" t="n">
        <x:f>IF(C290="QB",N290*0.04+O290*4-P290*2+R290*0.1+S290*6,IF(OR(C290="RB",C290="WR",C290="TE"),U290*0.1+V290*6+R290*0.1+S290*6+X290*0.5+Y290*0.1+Z290*6,IF(C290="K",AC290*3+AD290*4+AE290*5+AF290,IF(C290="DST",AG290+AH290*2+AI290*6+AL290,0))))</x:f>
        <x:v>8.623159999999999</x:v>
      </x:c>
      <x:c r="AW290" s="22" t="n">
        <x:f>(AV290+AU290)*G290</x:f>
        <x:v>8.623159999999999</x:v>
      </x:c>
      <x:c r="AX290" s="22" t="n">
        <x:f>MAX(0,AW290*IF(C290="QB",0.68,IF(C290="RB",0.58,IF(C290="WR",0.52,IF(C290="TE",0.50,IF(C290="K",0.55,0.40))))))</x:f>
        <x:v>4.742737999999999</x:v>
      </x:c>
      <x:c r="AY290" s="22" t="n">
        <x:f>AW290*IF(C290="QB",1.32,IF(C290="RB",1.45,IF(C290="WR",1.55,IF(C290="TE",1.60,IF(C290="K",1.45,1.65)))))</x:f>
        <x:v>12.503581999999998</x:v>
      </x:c>
      <x:c r="AZ290" s="12" t="str">
        <x:v>High</x:v>
      </x:c>
      <x:c r="BA290" s="12" t="n">
        <x:v>2</x:v>
      </x:c>
      <x:c r="BB290" s="12" t="n">
        <x:f>COUNTIFS($C$2:$C$344,C290,$AW$2:$AW$344,"&gt;"&amp;AW290,$G$2:$G$344,"&gt;0")+COUNTIFS($C$2:C290,C290,$AW$2:AW290,AW290,$G$2:G290,"&gt;0")</x:f>
        <x:v>12</x:v>
      </x:c>
      <x:c r="BC290" s="12" t="n">
        <x:v>12</x:v>
      </x:c>
      <x:c r="BD290" s="12" t="str">
        <x:f>IF(BB290&lt;BC290,"↑",IF(BB290&gt;BC290,"↓","→"))</x:f>
        <x:v>→</x:v>
      </x:c>
      <x:c r="BE290" s="23" t="str">
        <x:v>Fantasy Football Brief ROS baseline; official NFL schedule</x:v>
      </x:c>
      <x:c r="BF290" s="23" t="str">
        <x:v>Current role and availability baseline; all adjustment factors shown numerically</x:v>
      </x:c>
      <x:c r="BG290" s="23" t="str">
        <x:v>Material injury, depth-chart, or role change</x:v>
      </x:c>
      <x:c r="BH290" s="24" t="str">
        <x:v>2026-09-23 10:35 CT</x:v>
      </x:c>
    </x:row>
    <x:row r="291">
      <x:c r="A291" s="12" t="str">
        <x:v>Jake Elliott</x:v>
      </x:c>
      <x:c r="B291" s="12" t="str">
        <x:v>PHI</x:v>
      </x:c>
      <x:c r="C291" s="12" t="str">
        <x:v>K</x:v>
      </x:c>
      <x:c r="D291" s="12" t="str">
        <x:v>CHI</x:v>
      </x:c>
      <x:c r="E291" s="12" t="str">
        <x:v>Away</x:v>
      </x:c>
      <x:c r="F291" s="12" t="str">
        <x:v>2026-09-28</x:v>
      </x:c>
      <x:c r="G291" s="19" t="n">
        <x:v>1</x:v>
      </x:c>
      <x:c r="H291" s="20" t="str">
        <x:v>ACTIVE</x:v>
      </x:c>
      <x:c r="I291" s="20" t="n">
        <x:v>10</x:v>
      </x:c>
      <x:c r="J291" s="20" t="str">
        <x:v>Scoring drives</x:v>
      </x:c>
      <x:c r="K291" s="20" t="n">
        <x:v>3.951807228915662</x:v>
      </x:c>
      <x:c r="L291" s="21" t="n">
        <x:v>0</x:v>
      </x:c>
      <x:c r="M291" s="21" t="n">
        <x:v>0</x:v>
      </x:c>
      <x:c r="N291" s="21" t="n">
        <x:v>0</x:v>
      </x:c>
      <x:c r="O291" s="21" t="n">
        <x:v>0</x:v>
      </x:c>
      <x:c r="P291" s="21" t="n">
        <x:v>0</x:v>
      </x:c>
      <x:c r="Q291" s="21" t="n">
        <x:v>0</x:v>
      </x:c>
      <x:c r="R291" s="21" t="n">
        <x:v>0</x:v>
      </x:c>
      <x:c r="S291" s="21" t="n">
        <x:v>0</x:v>
      </x:c>
      <x:c r="T291" s="21" t="n">
        <x:v>0</x:v>
      </x:c>
      <x:c r="U291" s="21" t="n">
        <x:v>0</x:v>
      </x:c>
      <x:c r="V291" s="21" t="n">
        <x:v>0</x:v>
      </x:c>
      <x:c r="W291" s="21" t="n">
        <x:v>0</x:v>
      </x:c>
      <x:c r="X291" s="21" t="n">
        <x:v>0</x:v>
      </x:c>
      <x:c r="Y291" s="21" t="n">
        <x:v>0</x:v>
      </x:c>
      <x:c r="Z291" s="21" t="n">
        <x:v>0</x:v>
      </x:c>
      <x:c r="AA291" s="21" t="n">
        <x:v>0</x:v>
      </x:c>
      <x:c r="AB291" s="21" t="n">
        <x:v>0</x:v>
      </x:c>
      <x:c r="AC291" s="21" t="n">
        <x:v>0.830353734939759</x:v>
      </x:c>
      <x:c r="AD291" s="21" t="n">
        <x:v>0.5189710843373493</x:v>
      </x:c>
      <x:c r="AE291" s="21" t="n">
        <x:v>0.31138265060240955</x:v>
      </x:c>
      <x:c r="AF291" s="21" t="n">
        <x:v>2.4910612048192764</x:v>
      </x:c>
      <x:c r="AG291" s="21" t="n">
        <x:v>0</x:v>
      </x:c>
      <x:c r="AH291" s="21" t="n">
        <x:v>0</x:v>
      </x:c>
      <x:c r="AI291" s="21" t="n">
        <x:v>0</x:v>
      </x:c>
      <x:c r="AJ291" s="21" t="n">
        <x:v>0</x:v>
      </x:c>
      <x:c r="AK291" s="21" t="n">
        <x:v>0</x:v>
      </x:c>
      <x:c r="AL291" s="21" t="n">
        <x:v>0</x:v>
      </x:c>
      <x:c r="AM291" s="21" t="n">
        <x:v>1</x:v>
      </x:c>
      <x:c r="AN291" s="21" t="n">
        <x:v>1</x:v>
      </x:c>
      <x:c r="AO291" s="21" t="n">
        <x:v>1</x:v>
      </x:c>
      <x:c r="AP291" s="21" t="n">
        <x:v>1.03</x:v>
      </x:c>
      <x:c r="AQ291" s="21" t="n">
        <x:v>1.02</x:v>
      </x:c>
      <x:c r="AR291" s="21" t="n">
        <x:v>1</x:v>
      </x:c>
      <x:c r="AS291" s="21" t="n">
        <x:v>1</x:v>
      </x:c>
      <x:c r="AT291" s="21" t="n">
        <x:v>1</x:v>
      </x:c>
      <x:c r="AU291" s="21" t="n">
        <x:v>0</x:v>
      </x:c>
      <x:c r="AV291" s="22" t="n">
        <x:f>IF(C291="QB",N291*0.04+O291*4-P291*2+R291*0.1+S291*6,IF(OR(C291="RB",C291="WR",C291="TE"),U291*0.1+V291*6+R291*0.1+S291*6+X291*0.5+Y291*0.1+Z291*6,IF(C291="K",AC291*3+AD291*4+AE291*5+AF291,IF(C291="DST",AG291+AH291*2+AI291*6+AL291,0))))</x:f>
        <x:v>8.614919999999998</x:v>
      </x:c>
      <x:c r="AW291" s="22" t="n">
        <x:f>(AV291+AU291)*G291</x:f>
        <x:v>8.614919999999998</x:v>
      </x:c>
      <x:c r="AX291" s="22" t="n">
        <x:f>MAX(0,AW291*IF(C291="QB",0.68,IF(C291="RB",0.58,IF(C291="WR",0.52,IF(C291="TE",0.50,IF(C291="K",0.55,0.40))))))</x:f>
        <x:v>4.738205999999999</x:v>
      </x:c>
      <x:c r="AY291" s="22" t="n">
        <x:f>AW291*IF(C291="QB",1.32,IF(C291="RB",1.45,IF(C291="WR",1.55,IF(C291="TE",1.60,IF(C291="K",1.45,1.65)))))</x:f>
        <x:v>12.491633999999996</x:v>
      </x:c>
      <x:c r="AZ291" s="12" t="str">
        <x:v>High</x:v>
      </x:c>
      <x:c r="BA291" s="12" t="n">
        <x:v>2</x:v>
      </x:c>
      <x:c r="BB291" s="12" t="n">
        <x:f>COUNTIFS($C$2:$C$344,C291,$AW$2:$AW$344,"&gt;"&amp;AW291,$G$2:$G$344,"&gt;0")+COUNTIFS($C$2:C291,C291,$AW$2:AW291,AW291,$G$2:G291,"&gt;0")</x:f>
        <x:v>13</x:v>
      </x:c>
      <x:c r="BC291" s="12" t="n">
        <x:v>13</x:v>
      </x:c>
      <x:c r="BD291" s="12" t="str">
        <x:f>IF(BB291&lt;BC291,"↑",IF(BB291&gt;BC291,"↓","→"))</x:f>
        <x:v>→</x:v>
      </x:c>
      <x:c r="BE291" s="23" t="str">
        <x:v>Fantasy Football Brief ROS baseline; official NFL schedule</x:v>
      </x:c>
      <x:c r="BF291" s="23" t="str">
        <x:v>Current role and availability baseline; all adjustment factors shown numerically</x:v>
      </x:c>
      <x:c r="BG291" s="23" t="str">
        <x:v>Material injury, depth-chart, or role change</x:v>
      </x:c>
      <x:c r="BH291" s="24" t="str">
        <x:v>2026-09-23 10:35 CT</x:v>
      </x:c>
    </x:row>
    <x:row r="292">
      <x:c r="A292" s="12" t="str">
        <x:v>Evan McPherson</x:v>
      </x:c>
      <x:c r="B292" s="12" t="str">
        <x:v>CIN</x:v>
      </x:c>
      <x:c r="C292" s="12" t="str">
        <x:v>K</x:v>
      </x:c>
      <x:c r="D292" s="12" t="str">
        <x:v>PIT</x:v>
      </x:c>
      <x:c r="E292" s="12" t="str">
        <x:v>Away</x:v>
      </x:c>
      <x:c r="F292" s="12" t="str">
        <x:v>2026-09-27</x:v>
      </x:c>
      <x:c r="G292" s="19" t="n">
        <x:v>1</x:v>
      </x:c>
      <x:c r="H292" s="20" t="str">
        <x:v>ACTIVE</x:v>
      </x:c>
      <x:c r="I292" s="20" t="n">
        <x:v>10</x:v>
      </x:c>
      <x:c r="J292" s="20" t="str">
        <x:v>Scoring drives</x:v>
      </x:c>
      <x:c r="K292" s="20" t="n">
        <x:v>4.096385542168674</x:v>
      </x:c>
      <x:c r="L292" s="21" t="n">
        <x:v>0</x:v>
      </x:c>
      <x:c r="M292" s="21" t="n">
        <x:v>0</x:v>
      </x:c>
      <x:c r="N292" s="21" t="n">
        <x:v>0</x:v>
      </x:c>
      <x:c r="O292" s="21" t="n">
        <x:v>0</x:v>
      </x:c>
      <x:c r="P292" s="21" t="n">
        <x:v>0</x:v>
      </x:c>
      <x:c r="Q292" s="21" t="n">
        <x:v>0</x:v>
      </x:c>
      <x:c r="R292" s="21" t="n">
        <x:v>0</x:v>
      </x:c>
      <x:c r="S292" s="21" t="n">
        <x:v>0</x:v>
      </x:c>
      <x:c r="T292" s="21" t="n">
        <x:v>0</x:v>
      </x:c>
      <x:c r="U292" s="21" t="n">
        <x:v>0</x:v>
      </x:c>
      <x:c r="V292" s="21" t="n">
        <x:v>0</x:v>
      </x:c>
      <x:c r="W292" s="21" t="n">
        <x:v>0</x:v>
      </x:c>
      <x:c r="X292" s="21" t="n">
        <x:v>0</x:v>
      </x:c>
      <x:c r="Y292" s="21" t="n">
        <x:v>0</x:v>
      </x:c>
      <x:c r="Z292" s="21" t="n">
        <x:v>0</x:v>
      </x:c>
      <x:c r="AA292" s="21" t="n">
        <x:v>0</x:v>
      </x:c>
      <x:c r="AB292" s="21" t="n">
        <x:v>0</x:v>
      </x:c>
      <x:c r="AC292" s="21" t="n">
        <x:v>0.8026457831325301</x:v>
      </x:c>
      <x:c r="AD292" s="21" t="n">
        <x:v>0.5016536144578313</x:v>
      </x:c>
      <x:c r="AE292" s="21" t="n">
        <x:v>0.30099216867469875</x:v>
      </x:c>
      <x:c r="AF292" s="21" t="n">
        <x:v>2.40793734939759</x:v>
      </x:c>
      <x:c r="AG292" s="21" t="n">
        <x:v>0</x:v>
      </x:c>
      <x:c r="AH292" s="21" t="n">
        <x:v>0</x:v>
      </x:c>
      <x:c r="AI292" s="21" t="n">
        <x:v>0</x:v>
      </x:c>
      <x:c r="AJ292" s="21" t="n">
        <x:v>0</x:v>
      </x:c>
      <x:c r="AK292" s="21" t="n">
        <x:v>0</x:v>
      </x:c>
      <x:c r="AL292" s="21" t="n">
        <x:v>0</x:v>
      </x:c>
      <x:c r="AM292" s="21" t="n">
        <x:v>1</x:v>
      </x:c>
      <x:c r="AN292" s="21" t="n">
        <x:v>1</x:v>
      </x:c>
      <x:c r="AO292" s="21" t="n">
        <x:v>1</x:v>
      </x:c>
      <x:c r="AP292" s="21" t="n">
        <x:v>1.01</x:v>
      </x:c>
      <x:c r="AQ292" s="21" t="n">
        <x:v>0.97</x:v>
      </x:c>
      <x:c r="AR292" s="21" t="n">
        <x:v>1</x:v>
      </x:c>
      <x:c r="AS292" s="21" t="n">
        <x:v>1</x:v>
      </x:c>
      <x:c r="AT292" s="21" t="n">
        <x:v>1</x:v>
      </x:c>
      <x:c r="AU292" s="21" t="n">
        <x:v>0</x:v>
      </x:c>
      <x:c r="AV292" s="22" t="n">
        <x:f>IF(C292="QB",N292*0.04+O292*4-P292*2+R292*0.1+S292*6,IF(OR(C292="RB",C292="WR",C292="TE"),U292*0.1+V292*6+R292*0.1+S292*6+X292*0.5+Y292*0.1+Z292*6,IF(C292="K",AC292*3+AD292*4+AE292*5+AF292,IF(C292="DST",AG292+AH292*2+AI292*6+AL292,0))))</x:f>
        <x:v>8.32745</x:v>
      </x:c>
      <x:c r="AW292" s="22" t="n">
        <x:f>(AV292+AU292)*G292</x:f>
        <x:v>8.32745</x:v>
      </x:c>
      <x:c r="AX292" s="22" t="n">
        <x:f>MAX(0,AW292*IF(C292="QB",0.68,IF(C292="RB",0.58,IF(C292="WR",0.52,IF(C292="TE",0.50,IF(C292="K",0.55,0.40))))))</x:f>
        <x:v>4.580097500000001</x:v>
      </x:c>
      <x:c r="AY292" s="22" t="n">
        <x:f>AW292*IF(C292="QB",1.32,IF(C292="RB",1.45,IF(C292="WR",1.55,IF(C292="TE",1.60,IF(C292="K",1.45,1.65)))))</x:f>
        <x:v>12.0748025</x:v>
      </x:c>
      <x:c r="AZ292" s="12" t="str">
        <x:v>High</x:v>
      </x:c>
      <x:c r="BA292" s="12" t="n">
        <x:v>2</x:v>
      </x:c>
      <x:c r="BB292" s="12" t="n">
        <x:f>COUNTIFS($C$2:$C$344,C292,$AW$2:$AW$344,"&gt;"&amp;AW292,$G$2:$G$344,"&gt;0")+COUNTIFS($C$2:C292,C292,$AW$2:AW292,AW292,$G$2:G292,"&gt;0")</x:f>
        <x:v>14</x:v>
      </x:c>
      <x:c r="BC292" s="12" t="n">
        <x:v>14</x:v>
      </x:c>
      <x:c r="BD292" s="12" t="str">
        <x:f>IF(BB292&lt;BC292,"↑",IF(BB292&gt;BC292,"↓","→"))</x:f>
        <x:v>→</x:v>
      </x:c>
      <x:c r="BE292" s="23" t="str">
        <x:v>Fantasy Football Brief ROS baseline; official NFL schedule</x:v>
      </x:c>
      <x:c r="BF292" s="23" t="str">
        <x:v>Current role and availability baseline; all adjustment factors shown numerically</x:v>
      </x:c>
      <x:c r="BG292" s="23" t="str">
        <x:v>Material injury, depth-chart, or role change</x:v>
      </x:c>
      <x:c r="BH292" s="24" t="str">
        <x:v>2026-09-23 10:35 CT</x:v>
      </x:c>
    </x:row>
    <x:row r="293">
      <x:c r="A293" s="12" t="str">
        <x:v>Chase McLaughlin</x:v>
      </x:c>
      <x:c r="B293" s="12" t="str">
        <x:v>TB</x:v>
      </x:c>
      <x:c r="C293" s="12" t="str">
        <x:v>K</x:v>
      </x:c>
      <x:c r="D293" s="12" t="str">
        <x:v>MIN</x:v>
      </x:c>
      <x:c r="E293" s="12" t="str">
        <x:v>Home</x:v>
      </x:c>
      <x:c r="F293" s="12" t="str">
        <x:v>2026-09-27</x:v>
      </x:c>
      <x:c r="G293" s="19" t="n">
        <x:v>1</x:v>
      </x:c>
      <x:c r="H293" s="20" t="str">
        <x:v>ACTIVE</x:v>
      </x:c>
      <x:c r="I293" s="20" t="n">
        <x:v>10</x:v>
      </x:c>
      <x:c r="J293" s="20" t="str">
        <x:v>Scoring drives</x:v>
      </x:c>
      <x:c r="K293" s="20" t="n">
        <x:v>4.048192771084337</x:v>
      </x:c>
      <x:c r="L293" s="21" t="n">
        <x:v>0</x:v>
      </x:c>
      <x:c r="M293" s="21" t="n">
        <x:v>0</x:v>
      </x:c>
      <x:c r="N293" s="21" t="n">
        <x:v>0</x:v>
      </x:c>
      <x:c r="O293" s="21" t="n">
        <x:v>0</x:v>
      </x:c>
      <x:c r="P293" s="21" t="n">
        <x:v>0</x:v>
      </x:c>
      <x:c r="Q293" s="21" t="n">
        <x:v>0</x:v>
      </x:c>
      <x:c r="R293" s="21" t="n">
        <x:v>0</x:v>
      </x:c>
      <x:c r="S293" s="21" t="n">
        <x:v>0</x:v>
      </x:c>
      <x:c r="T293" s="21" t="n">
        <x:v>0</x:v>
      </x:c>
      <x:c r="U293" s="21" t="n">
        <x:v>0</x:v>
      </x:c>
      <x:c r="V293" s="21" t="n">
        <x:v>0</x:v>
      </x:c>
      <x:c r="W293" s="21" t="n">
        <x:v>0</x:v>
      </x:c>
      <x:c r="X293" s="21" t="n">
        <x:v>0</x:v>
      </x:c>
      <x:c r="Y293" s="21" t="n">
        <x:v>0</x:v>
      </x:c>
      <x:c r="Z293" s="21" t="n">
        <x:v>0</x:v>
      </x:c>
      <x:c r="AA293" s="21" t="n">
        <x:v>0</x:v>
      </x:c>
      <x:c r="AB293" s="21" t="n">
        <x:v>0</x:v>
      </x:c>
      <x:c r="AC293" s="21" t="n">
        <x:v>0.8013802409638554</x:v>
      </x:c>
      <x:c r="AD293" s="21" t="n">
        <x:v>0.5008626506024096</x:v>
      </x:c>
      <x:c r="AE293" s="21" t="n">
        <x:v>0.30051759036144576</x:v>
      </x:c>
      <x:c r="AF293" s="21" t="n">
        <x:v>2.404140722891566</x:v>
      </x:c>
      <x:c r="AG293" s="21" t="n">
        <x:v>0</x:v>
      </x:c>
      <x:c r="AH293" s="21" t="n">
        <x:v>0</x:v>
      </x:c>
      <x:c r="AI293" s="21" t="n">
        <x:v>0</x:v>
      </x:c>
      <x:c r="AJ293" s="21" t="n">
        <x:v>0</x:v>
      </x:c>
      <x:c r="AK293" s="21" t="n">
        <x:v>0</x:v>
      </x:c>
      <x:c r="AL293" s="21" t="n">
        <x:v>0</x:v>
      </x:c>
      <x:c r="AM293" s="21" t="n">
        <x:v>1</x:v>
      </x:c>
      <x:c r="AN293" s="21" t="n">
        <x:v>1</x:v>
      </x:c>
      <x:c r="AO293" s="21" t="n">
        <x:v>1</x:v>
      </x:c>
      <x:c r="AP293" s="21" t="n">
        <x:v>1.01</x:v>
      </x:c>
      <x:c r="AQ293" s="21" t="n">
        <x:v>0.98</x:v>
      </x:c>
      <x:c r="AR293" s="21" t="n">
        <x:v>1</x:v>
      </x:c>
      <x:c r="AS293" s="21" t="n">
        <x:v>1</x:v>
      </x:c>
      <x:c r="AT293" s="21" t="n">
        <x:v>1</x:v>
      </x:c>
      <x:c r="AU293" s="21" t="n">
        <x:v>0</x:v>
      </x:c>
      <x:c r="AV293" s="22" t="n">
        <x:f>IF(C293="QB",N293*0.04+O293*4-P293*2+R293*0.1+S293*6,IF(OR(C293="RB",C293="WR",C293="TE"),U293*0.1+V293*6+R293*0.1+S293*6+X293*0.5+Y293*0.1+Z293*6,IF(C293="K",AC293*3+AD293*4+AE293*5+AF293,IF(C293="DST",AG293+AH293*2+AI293*6+AL293,0))))</x:f>
        <x:v>8.314319999999999</x:v>
      </x:c>
      <x:c r="AW293" s="22" t="n">
        <x:f>(AV293+AU293)*G293</x:f>
        <x:v>8.314319999999999</x:v>
      </x:c>
      <x:c r="AX293" s="22" t="n">
        <x:f>MAX(0,AW293*IF(C293="QB",0.68,IF(C293="RB",0.58,IF(C293="WR",0.52,IF(C293="TE",0.50,IF(C293="K",0.55,0.40))))))</x:f>
        <x:v>4.572876</x:v>
      </x:c>
      <x:c r="AY293" s="22" t="n">
        <x:f>AW293*IF(C293="QB",1.32,IF(C293="RB",1.45,IF(C293="WR",1.55,IF(C293="TE",1.60,IF(C293="K",1.45,1.65)))))</x:f>
        <x:v>12.055763999999998</x:v>
      </x:c>
      <x:c r="AZ293" s="12" t="str">
        <x:v>High</x:v>
      </x:c>
      <x:c r="BA293" s="12" t="n">
        <x:v>2</x:v>
      </x:c>
      <x:c r="BB293" s="12" t="n">
        <x:f>COUNTIFS($C$2:$C$344,C293,$AW$2:$AW$344,"&gt;"&amp;AW293,$G$2:$G$344,"&gt;0")+COUNTIFS($C$2:C293,C293,$AW$2:AW293,AW293,$G$2:G293,"&gt;0")</x:f>
        <x:v>15</x:v>
      </x:c>
      <x:c r="BC293" s="12" t="n">
        <x:v>15</x:v>
      </x:c>
      <x:c r="BD293" s="12" t="str">
        <x:f>IF(BB293&lt;BC293,"↑",IF(BB293&gt;BC293,"↓","→"))</x:f>
        <x:v>→</x:v>
      </x:c>
      <x:c r="BE293" s="23" t="str">
        <x:v>Fantasy Football Brief ROS baseline; official NFL schedule</x:v>
      </x:c>
      <x:c r="BF293" s="23" t="str">
        <x:v>Current role and availability baseline; all adjustment factors shown numerically</x:v>
      </x:c>
      <x:c r="BG293" s="23" t="str">
        <x:v>Material injury, depth-chart, or role change</x:v>
      </x:c>
      <x:c r="BH293" s="24" t="str">
        <x:v>2026-09-23 10:35 CT</x:v>
      </x:c>
    </x:row>
    <x:row r="294">
      <x:c r="A294" s="12" t="str">
        <x:v>Andy Borregales</x:v>
      </x:c>
      <x:c r="B294" s="12" t="str">
        <x:v>NE</x:v>
      </x:c>
      <x:c r="C294" s="12" t="str">
        <x:v>K</x:v>
      </x:c>
      <x:c r="D294" s="12" t="str">
        <x:v>JAX</x:v>
      </x:c>
      <x:c r="E294" s="12" t="str">
        <x:v>Away</x:v>
      </x:c>
      <x:c r="F294" s="12" t="str">
        <x:v>2026-09-27</x:v>
      </x:c>
      <x:c r="G294" s="19" t="n">
        <x:v>1</x:v>
      </x:c>
      <x:c r="H294" s="20" t="str">
        <x:v>ACTIVE</x:v>
      </x:c>
      <x:c r="I294" s="20" t="n">
        <x:v>10</x:v>
      </x:c>
      <x:c r="J294" s="20" t="str">
        <x:v>Scoring drives</x:v>
      </x:c>
      <x:c r="K294" s="20" t="n">
        <x:v>4</x:v>
      </x:c>
      <x:c r="L294" s="21" t="n">
        <x:v>0</x:v>
      </x:c>
      <x:c r="M294" s="21" t="n">
        <x:v>0</x:v>
      </x:c>
      <x:c r="N294" s="21" t="n">
        <x:v>0</x:v>
      </x:c>
      <x:c r="O294" s="21" t="n">
        <x:v>0</x:v>
      </x:c>
      <x:c r="P294" s="21" t="n">
        <x:v>0</x:v>
      </x:c>
      <x:c r="Q294" s="21" t="n">
        <x:v>0</x:v>
      </x:c>
      <x:c r="R294" s="21" t="n">
        <x:v>0</x:v>
      </x:c>
      <x:c r="S294" s="21" t="n">
        <x:v>0</x:v>
      </x:c>
      <x:c r="T294" s="21" t="n">
        <x:v>0</x:v>
      </x:c>
      <x:c r="U294" s="21" t="n">
        <x:v>0</x:v>
      </x:c>
      <x:c r="V294" s="21" t="n">
        <x:v>0</x:v>
      </x:c>
      <x:c r="W294" s="21" t="n">
        <x:v>0</x:v>
      </x:c>
      <x:c r="X294" s="21" t="n">
        <x:v>0</x:v>
      </x:c>
      <x:c r="Y294" s="21" t="n">
        <x:v>0</x:v>
      </x:c>
      <x:c r="Z294" s="21" t="n">
        <x:v>0</x:v>
      </x:c>
      <x:c r="AA294" s="21" t="n">
        <x:v>0</x:v>
      </x:c>
      <x:c r="AB294" s="21" t="n">
        <x:v>0</x:v>
      </x:c>
      <x:c r="AC294" s="21" t="n">
        <x:v>0.7996800000000001</x:v>
      </x:c>
      <x:c r="AD294" s="21" t="n">
        <x:v>0.4998</x:v>
      </x:c>
      <x:c r="AE294" s="21" t="n">
        <x:v>0.29988</x:v>
      </x:c>
      <x:c r="AF294" s="21" t="n">
        <x:v>2.39904</x:v>
      </x:c>
      <x:c r="AG294" s="21" t="n">
        <x:v>0</x:v>
      </x:c>
      <x:c r="AH294" s="21" t="n">
        <x:v>0</x:v>
      </x:c>
      <x:c r="AI294" s="21" t="n">
        <x:v>0</x:v>
      </x:c>
      <x:c r="AJ294" s="21" t="n">
        <x:v>0</x:v>
      </x:c>
      <x:c r="AK294" s="21" t="n">
        <x:v>0</x:v>
      </x:c>
      <x:c r="AL294" s="21" t="n">
        <x:v>0</x:v>
      </x:c>
      <x:c r="AM294" s="21" t="n">
        <x:v>1</x:v>
      </x:c>
      <x:c r="AN294" s="21" t="n">
        <x:v>1</x:v>
      </x:c>
      <x:c r="AO294" s="21" t="n">
        <x:v>1</x:v>
      </x:c>
      <x:c r="AP294" s="21" t="n">
        <x:v>0.98</x:v>
      </x:c>
      <x:c r="AQ294" s="21" t="n">
        <x:v>1.02</x:v>
      </x:c>
      <x:c r="AR294" s="21" t="n">
        <x:v>1</x:v>
      </x:c>
      <x:c r="AS294" s="21" t="n">
        <x:v>1</x:v>
      </x:c>
      <x:c r="AT294" s="21" t="n">
        <x:v>1</x:v>
      </x:c>
      <x:c r="AU294" s="21" t="n">
        <x:v>0</x:v>
      </x:c>
      <x:c r="AV294" s="22" t="n">
        <x:f>IF(C294="QB",N294*0.04+O294*4-P294*2+R294*0.1+S294*6,IF(OR(C294="RB",C294="WR",C294="TE"),U294*0.1+V294*6+R294*0.1+S294*6+X294*0.5+Y294*0.1+Z294*6,IF(C294="K",AC294*3+AD294*4+AE294*5+AF294,IF(C294="DST",AG294+AH294*2+AI294*6+AL294,0))))</x:f>
        <x:v>8.29668</x:v>
      </x:c>
      <x:c r="AW294" s="22" t="n">
        <x:f>(AV294+AU294)*G294</x:f>
        <x:v>8.29668</x:v>
      </x:c>
      <x:c r="AX294" s="22" t="n">
        <x:f>MAX(0,AW294*IF(C294="QB",0.68,IF(C294="RB",0.58,IF(C294="WR",0.52,IF(C294="TE",0.50,IF(C294="K",0.55,0.40))))))</x:f>
        <x:v>4.563174000000001</x:v>
      </x:c>
      <x:c r="AY294" s="22" t="n">
        <x:f>AW294*IF(C294="QB",1.32,IF(C294="RB",1.45,IF(C294="WR",1.55,IF(C294="TE",1.60,IF(C294="K",1.45,1.65)))))</x:f>
        <x:v>12.030186</x:v>
      </x:c>
      <x:c r="AZ294" s="12" t="str">
        <x:v>High</x:v>
      </x:c>
      <x:c r="BA294" s="12" t="n">
        <x:v>2</x:v>
      </x:c>
      <x:c r="BB294" s="12" t="n">
        <x:f>COUNTIFS($C$2:$C$344,C294,$AW$2:$AW$344,"&gt;"&amp;AW294,$G$2:$G$344,"&gt;0")+COUNTIFS($C$2:C294,C294,$AW$2:AW294,AW294,$G$2:G294,"&gt;0")</x:f>
        <x:v>16</x:v>
      </x:c>
      <x:c r="BC294" s="12" t="n">
        <x:v>16</x:v>
      </x:c>
      <x:c r="BD294" s="12" t="str">
        <x:f>IF(BB294&lt;BC294,"↑",IF(BB294&gt;BC294,"↓","→"))</x:f>
        <x:v>→</x:v>
      </x:c>
      <x:c r="BE294" s="23" t="str">
        <x:v>Fantasy Football Brief ROS baseline; official NFL schedule</x:v>
      </x:c>
      <x:c r="BF294" s="23" t="str">
        <x:v>Current role and availability baseline; all adjustment factors shown numerically</x:v>
      </x:c>
      <x:c r="BG294" s="23" t="str">
        <x:v>Material injury, depth-chart, or role change</x:v>
      </x:c>
      <x:c r="BH294" s="24" t="str">
        <x:v>2026-09-23 10:35 CT</x:v>
      </x:c>
    </x:row>
    <x:row r="295">
      <x:c r="A295" s="12" t="str">
        <x:v>Trey Smack</x:v>
      </x:c>
      <x:c r="B295" s="12" t="str">
        <x:v>GB</x:v>
      </x:c>
      <x:c r="C295" s="12" t="str">
        <x:v>K</x:v>
      </x:c>
      <x:c r="D295" s="12" t="str">
        <x:v>ATL</x:v>
      </x:c>
      <x:c r="E295" s="12" t="str">
        <x:v>Home</x:v>
      </x:c>
      <x:c r="F295" s="12" t="str">
        <x:v>2026-09-24</x:v>
      </x:c>
      <x:c r="G295" s="19" t="n">
        <x:v>1</x:v>
      </x:c>
      <x:c r="H295" s="20" t="str">
        <x:v>ACTIVE</x:v>
      </x:c>
      <x:c r="I295" s="20" t="n">
        <x:v>10</x:v>
      </x:c>
      <x:c r="J295" s="20" t="str">
        <x:v>Scoring drives</x:v>
      </x:c>
      <x:c r="K295" s="20" t="n">
        <x:v>3.903614457831325</x:v>
      </x:c>
      <x:c r="L295" s="21" t="n">
        <x:v>0</x:v>
      </x:c>
      <x:c r="M295" s="21" t="n">
        <x:v>0</x:v>
      </x:c>
      <x:c r="N295" s="21" t="n">
        <x:v>0</x:v>
      </x:c>
      <x:c r="O295" s="21" t="n">
        <x:v>0</x:v>
      </x:c>
      <x:c r="P295" s="21" t="n">
        <x:v>0</x:v>
      </x:c>
      <x:c r="Q295" s="21" t="n">
        <x:v>0</x:v>
      </x:c>
      <x:c r="R295" s="21" t="n">
        <x:v>0</x:v>
      </x:c>
      <x:c r="S295" s="21" t="n">
        <x:v>0</x:v>
      </x:c>
      <x:c r="T295" s="21" t="n">
        <x:v>0</x:v>
      </x:c>
      <x:c r="U295" s="21" t="n">
        <x:v>0</x:v>
      </x:c>
      <x:c r="V295" s="21" t="n">
        <x:v>0</x:v>
      </x:c>
      <x:c r="W295" s="21" t="n">
        <x:v>0</x:v>
      </x:c>
      <x:c r="X295" s="21" t="n">
        <x:v>0</x:v>
      </x:c>
      <x:c r="Y295" s="21" t="n">
        <x:v>0</x:v>
      </x:c>
      <x:c r="Z295" s="21" t="n">
        <x:v>0</x:v>
      </x:c>
      <x:c r="AA295" s="21" t="n">
        <x:v>0</x:v>
      </x:c>
      <x:c r="AB295" s="21" t="n">
        <x:v>0</x:v>
      </x:c>
      <x:c r="AC295" s="21" t="n">
        <x:v>0.7963373493975904</x:v>
      </x:c>
      <x:c r="AD295" s="21" t="n">
        <x:v>0.49771084337349397</x:v>
      </x:c>
      <x:c r="AE295" s="21" t="n">
        <x:v>0.2986265060240964</x:v>
      </x:c>
      <x:c r="AF295" s="21" t="n">
        <x:v>2.3890120481927712</x:v>
      </x:c>
      <x:c r="AG295" s="21" t="n">
        <x:v>0</x:v>
      </x:c>
      <x:c r="AH295" s="21" t="n">
        <x:v>0</x:v>
      </x:c>
      <x:c r="AI295" s="21" t="n">
        <x:v>0</x:v>
      </x:c>
      <x:c r="AJ295" s="21" t="n">
        <x:v>0</x:v>
      </x:c>
      <x:c r="AK295" s="21" t="n">
        <x:v>0</x:v>
      </x:c>
      <x:c r="AL295" s="21" t="n">
        <x:v>0</x:v>
      </x:c>
      <x:c r="AM295" s="21" t="n">
        <x:v>1</x:v>
      </x:c>
      <x:c r="AN295" s="21" t="n">
        <x:v>1</x:v>
      </x:c>
      <x:c r="AO295" s="21" t="n">
        <x:v>1</x:v>
      </x:c>
      <x:c r="AP295" s="21" t="n">
        <x:v>1.02</x:v>
      </x:c>
      <x:c r="AQ295" s="21" t="n">
        <x:v>1</x:v>
      </x:c>
      <x:c r="AR295" s="21" t="n">
        <x:v>1</x:v>
      </x:c>
      <x:c r="AS295" s="21" t="n">
        <x:v>1</x:v>
      </x:c>
      <x:c r="AT295" s="21" t="n">
        <x:v>1</x:v>
      </x:c>
      <x:c r="AU295" s="21" t="n">
        <x:v>0</x:v>
      </x:c>
      <x:c r="AV295" s="22" t="n">
        <x:f>IF(C295="QB",N295*0.04+O295*4-P295*2+R295*0.1+S295*6,IF(OR(C295="RB",C295="WR",C295="TE"),U295*0.1+V295*6+R295*0.1+S295*6+X295*0.5+Y295*0.1+Z295*6,IF(C295="K",AC295*3+AD295*4+AE295*5+AF295,IF(C295="DST",AG295+AH295*2+AI295*6+AL295,0))))</x:f>
        <x:v>8.262</x:v>
      </x:c>
      <x:c r="AW295" s="22" t="n">
        <x:f>(AV295+AU295)*G295</x:f>
        <x:v>8.262</x:v>
      </x:c>
      <x:c r="AX295" s="22" t="n">
        <x:f>MAX(0,AW295*IF(C295="QB",0.68,IF(C295="RB",0.58,IF(C295="WR",0.52,IF(C295="TE",0.50,IF(C295="K",0.55,0.40))))))</x:f>
        <x:v>4.5441</x:v>
      </x:c>
      <x:c r="AY295" s="22" t="n">
        <x:f>AW295*IF(C295="QB",1.32,IF(C295="RB",1.45,IF(C295="WR",1.55,IF(C295="TE",1.60,IF(C295="K",1.45,1.65)))))</x:f>
        <x:v>11.9799</x:v>
      </x:c>
      <x:c r="AZ295" s="12" t="str">
        <x:v>High</x:v>
      </x:c>
      <x:c r="BA295" s="12" t="n">
        <x:v>3</x:v>
      </x:c>
      <x:c r="BB295" s="12" t="n">
        <x:f>COUNTIFS($C$2:$C$344,C295,$AW$2:$AW$344,"&gt;"&amp;AW295,$G$2:$G$344,"&gt;0")+COUNTIFS($C$2:C295,C295,$AW$2:AW295,AW295,$G$2:G295,"&gt;0")</x:f>
        <x:v>17</x:v>
      </x:c>
      <x:c r="BC295" s="12" t="n">
        <x:v>17</x:v>
      </x:c>
      <x:c r="BD295" s="12" t="str">
        <x:f>IF(BB295&lt;BC295,"↑",IF(BB295&gt;BC295,"↓","→"))</x:f>
        <x:v>→</x:v>
      </x:c>
      <x:c r="BE295" s="23" t="str">
        <x:v>Fantasy Football Brief ROS baseline; official NFL schedule</x:v>
      </x:c>
      <x:c r="BF295" s="23" t="str">
        <x:v>Current role and availability baseline; all adjustment factors shown numerically</x:v>
      </x:c>
      <x:c r="BG295" s="23" t="str">
        <x:v>Material injury, depth-chart, or role change</x:v>
      </x:c>
      <x:c r="BH295" s="24" t="str">
        <x:v>2026-09-23 10:35 CT</x:v>
      </x:c>
    </x:row>
    <x:row r="296">
      <x:c r="A296" s="12" t="str">
        <x:v>Tyler Bass</x:v>
      </x:c>
      <x:c r="B296" s="12" t="str">
        <x:v>BUF</x:v>
      </x:c>
      <x:c r="C296" s="12" t="str">
        <x:v>K</x:v>
      </x:c>
      <x:c r="D296" s="12" t="str">
        <x:v>LAC</x:v>
      </x:c>
      <x:c r="E296" s="12" t="str">
        <x:v>Home</x:v>
      </x:c>
      <x:c r="F296" s="12" t="str">
        <x:v>2026-09-27</x:v>
      </x:c>
      <x:c r="G296" s="19" t="n">
        <x:v>1</x:v>
      </x:c>
      <x:c r="H296" s="20" t="str">
        <x:v>ACTIVE</x:v>
      </x:c>
      <x:c r="I296" s="20" t="n">
        <x:v>10</x:v>
      </x:c>
      <x:c r="J296" s="20" t="str">
        <x:v>Scoring drives</x:v>
      </x:c>
      <x:c r="K296" s="20" t="n">
        <x:v>3.903614457831325</x:v>
      </x:c>
      <x:c r="L296" s="21" t="n">
        <x:v>0</x:v>
      </x:c>
      <x:c r="M296" s="21" t="n">
        <x:v>0</x:v>
      </x:c>
      <x:c r="N296" s="21" t="n">
        <x:v>0</x:v>
      </x:c>
      <x:c r="O296" s="21" t="n">
        <x:v>0</x:v>
      </x:c>
      <x:c r="P296" s="21" t="n">
        <x:v>0</x:v>
      </x:c>
      <x:c r="Q296" s="21" t="n">
        <x:v>0</x:v>
      </x:c>
      <x:c r="R296" s="21" t="n">
        <x:v>0</x:v>
      </x:c>
      <x:c r="S296" s="21" t="n">
        <x:v>0</x:v>
      </x:c>
      <x:c r="T296" s="21" t="n">
        <x:v>0</x:v>
      </x:c>
      <x:c r="U296" s="21" t="n">
        <x:v>0</x:v>
      </x:c>
      <x:c r="V296" s="21" t="n">
        <x:v>0</x:v>
      </x:c>
      <x:c r="W296" s="21" t="n">
        <x:v>0</x:v>
      </x:c>
      <x:c r="X296" s="21" t="n">
        <x:v>0</x:v>
      </x:c>
      <x:c r="Y296" s="21" t="n">
        <x:v>0</x:v>
      </x:c>
      <x:c r="Z296" s="21" t="n">
        <x:v>0</x:v>
      </x:c>
      <x:c r="AA296" s="21" t="n">
        <x:v>0</x:v>
      </x:c>
      <x:c r="AB296" s="21" t="n">
        <x:v>0</x:v>
      </x:c>
      <x:c r="AC296" s="21" t="n">
        <x:v>0.7957127710843375</x:v>
      </x:c>
      <x:c r="AD296" s="21" t="n">
        <x:v>0.49732048192771083</x:v>
      </x:c>
      <x:c r="AE296" s="21" t="n">
        <x:v>0.2983922891566265</x:v>
      </x:c>
      <x:c r="AF296" s="21" t="n">
        <x:v>2.387138313253012</x:v>
      </x:c>
      <x:c r="AG296" s="21" t="n">
        <x:v>0</x:v>
      </x:c>
      <x:c r="AH296" s="21" t="n">
        <x:v>0</x:v>
      </x:c>
      <x:c r="AI296" s="21" t="n">
        <x:v>0</x:v>
      </x:c>
      <x:c r="AJ296" s="21" t="n">
        <x:v>0</x:v>
      </x:c>
      <x:c r="AK296" s="21" t="n">
        <x:v>0</x:v>
      </x:c>
      <x:c r="AL296" s="21" t="n">
        <x:v>0</x:v>
      </x:c>
      <x:c r="AM296" s="21" t="n">
        <x:v>1</x:v>
      </x:c>
      <x:c r="AN296" s="21" t="n">
        <x:v>1</x:v>
      </x:c>
      <x:c r="AO296" s="21" t="n">
        <x:v>1</x:v>
      </x:c>
      <x:c r="AP296" s="21" t="n">
        <x:v>1.04</x:v>
      </x:c>
      <x:c r="AQ296" s="21" t="n">
        <x:v>0.98</x:v>
      </x:c>
      <x:c r="AR296" s="21" t="n">
        <x:v>1</x:v>
      </x:c>
      <x:c r="AS296" s="21" t="n">
        <x:v>1</x:v>
      </x:c>
      <x:c r="AT296" s="21" t="n">
        <x:v>1</x:v>
      </x:c>
      <x:c r="AU296" s="21" t="n">
        <x:v>0</x:v>
      </x:c>
      <x:c r="AV296" s="22" t="n">
        <x:f>IF(C296="QB",N296*0.04+O296*4-P296*2+R296*0.1+S296*6,IF(OR(C296="RB",C296="WR",C296="TE"),U296*0.1+V296*6+R296*0.1+S296*6+X296*0.5+Y296*0.1+Z296*6,IF(C296="K",AC296*3+AD296*4+AE296*5+AF296,IF(C296="DST",AG296+AH296*2+AI296*6+AL296,0))))</x:f>
        <x:v>8.25552</x:v>
      </x:c>
      <x:c r="AW296" s="22" t="n">
        <x:f>(AV296+AU296)*G296</x:f>
        <x:v>8.25552</x:v>
      </x:c>
      <x:c r="AX296" s="22" t="n">
        <x:f>MAX(0,AW296*IF(C296="QB",0.68,IF(C296="RB",0.58,IF(C296="WR",0.52,IF(C296="TE",0.50,IF(C296="K",0.55,0.40))))))</x:f>
        <x:v>4.540536</x:v>
      </x:c>
      <x:c r="AY296" s="22" t="n">
        <x:f>AW296*IF(C296="QB",1.32,IF(C296="RB",1.45,IF(C296="WR",1.55,IF(C296="TE",1.60,IF(C296="K",1.45,1.65)))))</x:f>
        <x:v>11.970504</x:v>
      </x:c>
      <x:c r="AZ296" s="12" t="str">
        <x:v>High</x:v>
      </x:c>
      <x:c r="BA296" s="12" t="n">
        <x:v>3</x:v>
      </x:c>
      <x:c r="BB296" s="12" t="n">
        <x:f>COUNTIFS($C$2:$C$344,C296,$AW$2:$AW$344,"&gt;"&amp;AW296,$G$2:$G$344,"&gt;0")+COUNTIFS($C$2:C296,C296,$AW$2:AW296,AW296,$G$2:G296,"&gt;0")</x:f>
        <x:v>18</x:v>
      </x:c>
      <x:c r="BC296" s="12" t="n">
        <x:v>18</x:v>
      </x:c>
      <x:c r="BD296" s="12" t="str">
        <x:f>IF(BB296&lt;BC296,"↑",IF(BB296&gt;BC296,"↓","→"))</x:f>
        <x:v>→</x:v>
      </x:c>
      <x:c r="BE296" s="23" t="str">
        <x:v>Fantasy Football Brief ROS baseline; official NFL schedule</x:v>
      </x:c>
      <x:c r="BF296" s="23" t="str">
        <x:v>Current role and availability baseline; all adjustment factors shown numerically</x:v>
      </x:c>
      <x:c r="BG296" s="23" t="str">
        <x:v>Material injury, depth-chart, or role change</x:v>
      </x:c>
      <x:c r="BH296" s="24" t="str">
        <x:v>2026-09-23 10:35 CT</x:v>
      </x:c>
    </x:row>
    <x:row r="297">
      <x:c r="A297" s="12" t="str">
        <x:v>Wil Lutz</x:v>
      </x:c>
      <x:c r="B297" s="12" t="str">
        <x:v>DEN</x:v>
      </x:c>
      <x:c r="C297" s="12" t="str">
        <x:v>K</x:v>
      </x:c>
      <x:c r="D297" s="12" t="str">
        <x:v>LAR</x:v>
      </x:c>
      <x:c r="E297" s="12" t="str">
        <x:v>Home</x:v>
      </x:c>
      <x:c r="F297" s="12" t="str">
        <x:v>2026-09-27</x:v>
      </x:c>
      <x:c r="G297" s="19" t="n">
        <x:v>1</x:v>
      </x:c>
      <x:c r="H297" s="20" t="str">
        <x:v>ACTIVE</x:v>
      </x:c>
      <x:c r="I297" s="20" t="n">
        <x:v>10</x:v>
      </x:c>
      <x:c r="J297" s="20" t="str">
        <x:v>Scoring drives</x:v>
      </x:c>
      <x:c r="K297" s="20" t="n">
        <x:v>4</x:v>
      </x:c>
      <x:c r="L297" s="21" t="n">
        <x:v>0</x:v>
      </x:c>
      <x:c r="M297" s="21" t="n">
        <x:v>0</x:v>
      </x:c>
      <x:c r="N297" s="21" t="n">
        <x:v>0</x:v>
      </x:c>
      <x:c r="O297" s="21" t="n">
        <x:v>0</x:v>
      </x:c>
      <x:c r="P297" s="21" t="n">
        <x:v>0</x:v>
      </x:c>
      <x:c r="Q297" s="21" t="n">
        <x:v>0</x:v>
      </x:c>
      <x:c r="R297" s="21" t="n">
        <x:v>0</x:v>
      </x:c>
      <x:c r="S297" s="21" t="n">
        <x:v>0</x:v>
      </x:c>
      <x:c r="T297" s="21" t="n">
        <x:v>0</x:v>
      </x:c>
      <x:c r="U297" s="21" t="n">
        <x:v>0</x:v>
      </x:c>
      <x:c r="V297" s="21" t="n">
        <x:v>0</x:v>
      </x:c>
      <x:c r="W297" s="21" t="n">
        <x:v>0</x:v>
      </x:c>
      <x:c r="X297" s="21" t="n">
        <x:v>0</x:v>
      </x:c>
      <x:c r="Y297" s="21" t="n">
        <x:v>0</x:v>
      </x:c>
      <x:c r="Z297" s="21" t="n">
        <x:v>0</x:v>
      </x:c>
      <x:c r="AA297" s="21" t="n">
        <x:v>0</x:v>
      </x:c>
      <x:c r="AB297" s="21" t="n">
        <x:v>0</x:v>
      </x:c>
      <x:c r="AC297" s="21" t="n">
        <x:v>0.784</x:v>
      </x:c>
      <x:c r="AD297" s="21" t="n">
        <x:v>0.49</x:v>
      </x:c>
      <x:c r="AE297" s="21" t="n">
        <x:v>0.294</x:v>
      </x:c>
      <x:c r="AF297" s="21" t="n">
        <x:v>2.352</x:v>
      </x:c>
      <x:c r="AG297" s="21" t="n">
        <x:v>0</x:v>
      </x:c>
      <x:c r="AH297" s="21" t="n">
        <x:v>0</x:v>
      </x:c>
      <x:c r="AI297" s="21" t="n">
        <x:v>0</x:v>
      </x:c>
      <x:c r="AJ297" s="21" t="n">
        <x:v>0</x:v>
      </x:c>
      <x:c r="AK297" s="21" t="n">
        <x:v>0</x:v>
      </x:c>
      <x:c r="AL297" s="21" t="n">
        <x:v>0</x:v>
      </x:c>
      <x:c r="AM297" s="21" t="n">
        <x:v>1</x:v>
      </x:c>
      <x:c r="AN297" s="21" t="n">
        <x:v>1</x:v>
      </x:c>
      <x:c r="AO297" s="21" t="n">
        <x:v>1</x:v>
      </x:c>
      <x:c r="AP297" s="21" t="n">
        <x:v>1</x:v>
      </x:c>
      <x:c r="AQ297" s="21" t="n">
        <x:v>0.98</x:v>
      </x:c>
      <x:c r="AR297" s="21" t="n">
        <x:v>1</x:v>
      </x:c>
      <x:c r="AS297" s="21" t="n">
        <x:v>1</x:v>
      </x:c>
      <x:c r="AT297" s="21" t="n">
        <x:v>1</x:v>
      </x:c>
      <x:c r="AU297" s="21" t="n">
        <x:v>0</x:v>
      </x:c>
      <x:c r="AV297" s="22" t="n">
        <x:f>IF(C297="QB",N297*0.04+O297*4-P297*2+R297*0.1+S297*6,IF(OR(C297="RB",C297="WR",C297="TE"),U297*0.1+V297*6+R297*0.1+S297*6+X297*0.5+Y297*0.1+Z297*6,IF(C297="K",AC297*3+AD297*4+AE297*5+AF297,IF(C297="DST",AG297+AH297*2+AI297*6+AL297,0))))</x:f>
        <x:v>8.134</x:v>
      </x:c>
      <x:c r="AW297" s="22" t="n">
        <x:f>(AV297+AU297)*G297</x:f>
        <x:v>8.134</x:v>
      </x:c>
      <x:c r="AX297" s="22" t="n">
        <x:f>MAX(0,AW297*IF(C297="QB",0.68,IF(C297="RB",0.58,IF(C297="WR",0.52,IF(C297="TE",0.50,IF(C297="K",0.55,0.40))))))</x:f>
        <x:v>4.473700000000001</x:v>
      </x:c>
      <x:c r="AY297" s="22" t="n">
        <x:f>AW297*IF(C297="QB",1.32,IF(C297="RB",1.45,IF(C297="WR",1.55,IF(C297="TE",1.60,IF(C297="K",1.45,1.65)))))</x:f>
        <x:v>11.7943</x:v>
      </x:c>
      <x:c r="AZ297" s="12" t="str">
        <x:v>High</x:v>
      </x:c>
      <x:c r="BA297" s="12" t="n">
        <x:v>3</x:v>
      </x:c>
      <x:c r="BB297" s="12" t="n">
        <x:f>COUNTIFS($C$2:$C$344,C297,$AW$2:$AW$344,"&gt;"&amp;AW297,$G$2:$G$344,"&gt;0")+COUNTIFS($C$2:C297,C297,$AW$2:AW297,AW297,$G$2:G297,"&gt;0")</x:f>
        <x:v>19</x:v>
      </x:c>
      <x:c r="BC297" s="12" t="n">
        <x:v>19</x:v>
      </x:c>
      <x:c r="BD297" s="12" t="str">
        <x:f>IF(BB297&lt;BC297,"↑",IF(BB297&gt;BC297,"↓","→"))</x:f>
        <x:v>→</x:v>
      </x:c>
      <x:c r="BE297" s="23" t="str">
        <x:v>Fantasy Football Brief ROS baseline; official NFL schedule</x:v>
      </x:c>
      <x:c r="BF297" s="23" t="str">
        <x:v>Current role and availability baseline; all adjustment factors shown numerically</x:v>
      </x:c>
      <x:c r="BG297" s="23" t="str">
        <x:v>Material injury, depth-chart, or role change</x:v>
      </x:c>
      <x:c r="BH297" s="24" t="str">
        <x:v>2026-09-23 10:35 CT</x:v>
      </x:c>
    </x:row>
    <x:row r="298">
      <x:c r="A298" s="12" t="str">
        <x:v>Jason Sanders</x:v>
      </x:c>
      <x:c r="B298" s="12" t="str">
        <x:v>NYJ</x:v>
      </x:c>
      <x:c r="C298" s="12" t="str">
        <x:v>K</x:v>
      </x:c>
      <x:c r="D298" s="12" t="str">
        <x:v>DET</x:v>
      </x:c>
      <x:c r="E298" s="12" t="str">
        <x:v>Away</x:v>
      </x:c>
      <x:c r="F298" s="12" t="str">
        <x:v>2026-09-27</x:v>
      </x:c>
      <x:c r="G298" s="19" t="n">
        <x:v>1</x:v>
      </x:c>
      <x:c r="H298" s="20" t="str">
        <x:v>ACTIVE</x:v>
      </x:c>
      <x:c r="I298" s="20" t="n">
        <x:v>10</x:v>
      </x:c>
      <x:c r="J298" s="20" t="str">
        <x:v>Scoring drives</x:v>
      </x:c>
      <x:c r="K298" s="20" t="n">
        <x:v>3.8072289156626504</x:v>
      </x:c>
      <x:c r="L298" s="21" t="n">
        <x:v>0</x:v>
      </x:c>
      <x:c r="M298" s="21" t="n">
        <x:v>0</x:v>
      </x:c>
      <x:c r="N298" s="21" t="n">
        <x:v>0</x:v>
      </x:c>
      <x:c r="O298" s="21" t="n">
        <x:v>0</x:v>
      </x:c>
      <x:c r="P298" s="21" t="n">
        <x:v>0</x:v>
      </x:c>
      <x:c r="Q298" s="21" t="n">
        <x:v>0</x:v>
      </x:c>
      <x:c r="R298" s="21" t="n">
        <x:v>0</x:v>
      </x:c>
      <x:c r="S298" s="21" t="n">
        <x:v>0</x:v>
      </x:c>
      <x:c r="T298" s="21" t="n">
        <x:v>0</x:v>
      </x:c>
      <x:c r="U298" s="21" t="n">
        <x:v>0</x:v>
      </x:c>
      <x:c r="V298" s="21" t="n">
        <x:v>0</x:v>
      </x:c>
      <x:c r="W298" s="21" t="n">
        <x:v>0</x:v>
      </x:c>
      <x:c r="X298" s="21" t="n">
        <x:v>0</x:v>
      </x:c>
      <x:c r="Y298" s="21" t="n">
        <x:v>0</x:v>
      </x:c>
      <x:c r="Z298" s="21" t="n">
        <x:v>0</x:v>
      </x:c>
      <x:c r="AA298" s="21" t="n">
        <x:v>0</x:v>
      </x:c>
      <x:c r="AB298" s="21" t="n">
        <x:v>0</x:v>
      </x:c>
      <x:c r="AC298" s="21" t="n">
        <x:v>0.7681465060240963</x:v>
      </x:c>
      <x:c r="AD298" s="21" t="n">
        <x:v>0.48009156626506017</x:v>
      </x:c>
      <x:c r="AE298" s="21" t="n">
        <x:v>0.2880549397590361</x:v>
      </x:c>
      <x:c r="AF298" s="21" t="n">
        <x:v>2.304439518072289</x:v>
      </x:c>
      <x:c r="AG298" s="21" t="n">
        <x:v>0</x:v>
      </x:c>
      <x:c r="AH298" s="21" t="n">
        <x:v>0</x:v>
      </x:c>
      <x:c r="AI298" s="21" t="n">
        <x:v>0</x:v>
      </x:c>
      <x:c r="AJ298" s="21" t="n">
        <x:v>0</x:v>
      </x:c>
      <x:c r="AK298" s="21" t="n">
        <x:v>0</x:v>
      </x:c>
      <x:c r="AL298" s="21" t="n">
        <x:v>0</x:v>
      </x:c>
      <x:c r="AM298" s="21" t="n">
        <x:v>1</x:v>
      </x:c>
      <x:c r="AN298" s="21" t="n">
        <x:v>1</x:v>
      </x:c>
      <x:c r="AO298" s="21" t="n">
        <x:v>1</x:v>
      </x:c>
      <x:c r="AP298" s="21" t="n">
        <x:v>0.97</x:v>
      </x:c>
      <x:c r="AQ298" s="21" t="n">
        <x:v>1.04</x:v>
      </x:c>
      <x:c r="AR298" s="21" t="n">
        <x:v>1</x:v>
      </x:c>
      <x:c r="AS298" s="21" t="n">
        <x:v>1</x:v>
      </x:c>
      <x:c r="AT298" s="21" t="n">
        <x:v>1</x:v>
      </x:c>
      <x:c r="AU298" s="21" t="n">
        <x:v>0</x:v>
      </x:c>
      <x:c r="AV298" s="22" t="n">
        <x:f>IF(C298="QB",N298*0.04+O298*4-P298*2+R298*0.1+S298*6,IF(OR(C298="RB",C298="WR",C298="TE"),U298*0.1+V298*6+R298*0.1+S298*6+X298*0.5+Y298*0.1+Z298*6,IF(C298="K",AC298*3+AD298*4+AE298*5+AF298,IF(C298="DST",AG298+AH298*2+AI298*6+AL298,0))))</x:f>
        <x:v>7.969519999999999</x:v>
      </x:c>
      <x:c r="AW298" s="22" t="n">
        <x:f>(AV298+AU298)*G298</x:f>
        <x:v>7.969519999999999</x:v>
      </x:c>
      <x:c r="AX298" s="22" t="n">
        <x:f>MAX(0,AW298*IF(C298="QB",0.68,IF(C298="RB",0.58,IF(C298="WR",0.52,IF(C298="TE",0.50,IF(C298="K",0.55,0.40))))))</x:f>
        <x:v>4.383236</x:v>
      </x:c>
      <x:c r="AY298" s="22" t="n">
        <x:f>AW298*IF(C298="QB",1.32,IF(C298="RB",1.45,IF(C298="WR",1.55,IF(C298="TE",1.60,IF(C298="K",1.45,1.65)))))</x:f>
        <x:v>11.555803999999998</x:v>
      </x:c>
      <x:c r="AZ298" s="12" t="str">
        <x:v>High</x:v>
      </x:c>
      <x:c r="BA298" s="12" t="n">
        <x:v>3</x:v>
      </x:c>
      <x:c r="BB298" s="12" t="n">
        <x:f>COUNTIFS($C$2:$C$344,C298,$AW$2:$AW$344,"&gt;"&amp;AW298,$G$2:$G$344,"&gt;0")+COUNTIFS($C$2:C298,C298,$AW$2:AW298,AW298,$G$2:G298,"&gt;0")</x:f>
        <x:v>20</x:v>
      </x:c>
      <x:c r="BC298" s="12" t="n">
        <x:v>20</x:v>
      </x:c>
      <x:c r="BD298" s="12" t="str">
        <x:f>IF(BB298&lt;BC298,"↑",IF(BB298&gt;BC298,"↓","→"))</x:f>
        <x:v>→</x:v>
      </x:c>
      <x:c r="BE298" s="23" t="str">
        <x:v>Fantasy Football Brief ROS baseline; official NFL schedule</x:v>
      </x:c>
      <x:c r="BF298" s="23" t="str">
        <x:v>Current role and availability baseline; all adjustment factors shown numerically</x:v>
      </x:c>
      <x:c r="BG298" s="23" t="str">
        <x:v>Material injury, depth-chart, or role change</x:v>
      </x:c>
      <x:c r="BH298" s="24" t="str">
        <x:v>2026-09-23 10:35 CT</x:v>
      </x:c>
    </x:row>
    <x:row r="299">
      <x:c r="A299" s="12" t="str">
        <x:v>Jake Moody</x:v>
      </x:c>
      <x:c r="B299" s="12" t="str">
        <x:v>BAL</x:v>
      </x:c>
      <x:c r="C299" s="12" t="str">
        <x:v>K</x:v>
      </x:c>
      <x:c r="D299" s="12" t="str">
        <x:v>DAL</x:v>
      </x:c>
      <x:c r="E299" s="12" t="str">
        <x:v>Away</x:v>
      </x:c>
      <x:c r="F299" s="12" t="str">
        <x:v>2026-09-27</x:v>
      </x:c>
      <x:c r="G299" s="19" t="n">
        <x:v>0</x:v>
      </x:c>
      <x:c r="H299" s="20" t="str">
        <x:v>NOT ACTIVE</x:v>
      </x:c>
      <x:c r="I299" s="20" t="n">
        <x:v>10</x:v>
      </x:c>
      <x:c r="J299" s="20" t="str">
        <x:v>Scoring drives</x:v>
      </x:c>
      <x:c r="K299" s="20" t="n">
        <x:v>3.469879518072289</x:v>
      </x:c>
      <x:c r="L299" s="21" t="n">
        <x:v>0</x:v>
      </x:c>
      <x:c r="M299" s="21" t="n">
        <x:v>0</x:v>
      </x:c>
      <x:c r="N299" s="21" t="n">
        <x:v>0</x:v>
      </x:c>
      <x:c r="O299" s="21" t="n">
        <x:v>0</x:v>
      </x:c>
      <x:c r="P299" s="21" t="n">
        <x:v>0</x:v>
      </x:c>
      <x:c r="Q299" s="21" t="n">
        <x:v>0</x:v>
      </x:c>
      <x:c r="R299" s="21" t="n">
        <x:v>0</x:v>
      </x:c>
      <x:c r="S299" s="21" t="n">
        <x:v>0</x:v>
      </x:c>
      <x:c r="T299" s="21" t="n">
        <x:v>0</x:v>
      </x:c>
      <x:c r="U299" s="21" t="n">
        <x:v>0</x:v>
      </x:c>
      <x:c r="V299" s="21" t="n">
        <x:v>0</x:v>
      </x:c>
      <x:c r="W299" s="21" t="n">
        <x:v>0</x:v>
      </x:c>
      <x:c r="X299" s="21" t="n">
        <x:v>0</x:v>
      </x:c>
      <x:c r="Y299" s="21" t="n">
        <x:v>0</x:v>
      </x:c>
      <x:c r="Z299" s="21" t="n">
        <x:v>0</x:v>
      </x:c>
      <x:c r="AA299" s="21" t="n">
        <x:v>0</x:v>
      </x:c>
      <x:c r="AB299" s="21" t="n">
        <x:v>0</x:v>
      </x:c>
      <x:c r="AC299" s="21" t="n">
        <x:v>0.757821686746988</x:v>
      </x:c>
      <x:c r="AD299" s="21" t="n">
        <x:v>0.47363855421686746</x:v>
      </x:c>
      <x:c r="AE299" s="21" t="n">
        <x:v>0.2841831325301205</x:v>
      </x:c>
      <x:c r="AF299" s="21" t="n">
        <x:v>2.273465060240964</x:v>
      </x:c>
      <x:c r="AG299" s="21" t="n">
        <x:v>0</x:v>
      </x:c>
      <x:c r="AH299" s="21" t="n">
        <x:v>0</x:v>
      </x:c>
      <x:c r="AI299" s="21" t="n">
        <x:v>0</x:v>
      </x:c>
      <x:c r="AJ299" s="21" t="n">
        <x:v>0</x:v>
      </x:c>
      <x:c r="AK299" s="21" t="n">
        <x:v>0</x:v>
      </x:c>
      <x:c r="AL299" s="21" t="n">
        <x:v>0</x:v>
      </x:c>
      <x:c r="AM299" s="21" t="n">
        <x:v>1</x:v>
      </x:c>
      <x:c r="AN299" s="21" t="n">
        <x:v>1</x:v>
      </x:c>
      <x:c r="AO299" s="21" t="n">
        <x:v>1</x:v>
      </x:c>
      <x:c r="AP299" s="21" t="n">
        <x:v>1.04</x:v>
      </x:c>
      <x:c r="AQ299" s="21" t="n">
        <x:v>1.05</x:v>
      </x:c>
      <x:c r="AR299" s="21" t="n">
        <x:v>1</x:v>
      </x:c>
      <x:c r="AS299" s="21" t="n">
        <x:v>1</x:v>
      </x:c>
      <x:c r="AT299" s="21" t="n">
        <x:v>1</x:v>
      </x:c>
      <x:c r="AU299" s="21" t="n">
        <x:v>0</x:v>
      </x:c>
      <x:c r="AV299" s="22" t="n">
        <x:f>IF(C299="QB",N299*0.04+O299*4-P299*2+R299*0.1+S299*6,IF(OR(C299="RB",C299="WR",C299="TE"),U299*0.1+V299*6+R299*0.1+S299*6+X299*0.5+Y299*0.1+Z299*6,IF(C299="K",AC299*3+AD299*4+AE299*5+AF299,IF(C299="DST",AG299+AH299*2+AI299*6+AL299,0))))</x:f>
        <x:v>7.862400000000001</x:v>
      </x:c>
      <x:c r="AW299" s="22" t="n">
        <x:f>(AV299+AU299)*G299</x:f>
        <x:v>0</x:v>
      </x:c>
      <x:c r="AX299" s="22" t="n">
        <x:f>MAX(0,AW299*IF(C299="QB",0.68,IF(C299="RB",0.58,IF(C299="WR",0.52,IF(C299="TE",0.50,IF(C299="K",0.55,0.40))))))</x:f>
        <x:v>0</x:v>
      </x:c>
      <x:c r="AY299" s="22" t="n">
        <x:f>AW299*IF(C299="QB",1.32,IF(C299="RB",1.45,IF(C299="WR",1.55,IF(C299="TE",1.60,IF(C299="K",1.45,1.65)))))</x:f>
        <x:v>0</x:v>
      </x:c>
      <x:c r="AZ299" s="12" t="str">
        <x:v>High</x:v>
      </x:c>
      <x:c r="BA299" s="12" t="n">
        <x:v>3</x:v>
      </x:c>
      <x:c r="BB299" s="12"/>
      <x:c r="BC299" s="12" t="n">
        <x:v>13</x:v>
      </x:c>
      <x:c r="BD299" s="12" t="str">
        <x:v>↓</x:v>
      </x:c>
      <x:c r="BE299" s="23" t="str">
        <x:v>https://www.baltimoreravens.com/news/ravens-sign-wide-receiver-release-jake-moody-gage-larvadain-jakobi-lane-zay-flowers</x:v>
      </x:c>
      <x:c r="BF299" s="23" t="str">
        <x:v>Released from Baltimore practice squad; Tyler Loop is the active kicker.</x:v>
      </x:c>
      <x:c r="BG299" s="23" t="str">
        <x:v>Verified active-roster transaction</x:v>
      </x:c>
      <x:c r="BH299" s="24" t="str">
        <x:v>2026-09-24 1:18 PM CT</x:v>
      </x:c>
    </x:row>
    <x:row r="300">
      <x:c r="A300" s="12" t="str">
        <x:v>Charlie Smyth</x:v>
      </x:c>
      <x:c r="B300" s="12" t="str">
        <x:v>NO</x:v>
      </x:c>
      <x:c r="C300" s="12" t="str">
        <x:v>K</x:v>
      </x:c>
      <x:c r="D300" s="12" t="str">
        <x:v>LV</x:v>
      </x:c>
      <x:c r="E300" s="12" t="str">
        <x:v>Home</x:v>
      </x:c>
      <x:c r="F300" s="12" t="str">
        <x:v>2026-09-27</x:v>
      </x:c>
      <x:c r="G300" s="19" t="n">
        <x:v>0</x:v>
      </x:c>
      <x:c r="H300" s="20" t="str">
        <x:v>NOT ACTIVE</x:v>
      </x:c>
      <x:c r="I300" s="20" t="n">
        <x:v>10</x:v>
      </x:c>
      <x:c r="J300" s="20" t="str">
        <x:v>Scoring drives</x:v>
      </x:c>
      <x:c r="K300" s="20" t="n">
        <x:v>3.759036144578313</x:v>
      </x:c>
      <x:c r="L300" s="21" t="n">
        <x:v>0</x:v>
      </x:c>
      <x:c r="M300" s="21" t="n">
        <x:v>0</x:v>
      </x:c>
      <x:c r="N300" s="21" t="n">
        <x:v>0</x:v>
      </x:c>
      <x:c r="O300" s="21" t="n">
        <x:v>0</x:v>
      </x:c>
      <x:c r="P300" s="21" t="n">
        <x:v>0</x:v>
      </x:c>
      <x:c r="Q300" s="21" t="n">
        <x:v>0</x:v>
      </x:c>
      <x:c r="R300" s="21" t="n">
        <x:v>0</x:v>
      </x:c>
      <x:c r="S300" s="21" t="n">
        <x:v>0</x:v>
      </x:c>
      <x:c r="T300" s="21" t="n">
        <x:v>0</x:v>
      </x:c>
      <x:c r="U300" s="21" t="n">
        <x:v>0</x:v>
      </x:c>
      <x:c r="V300" s="21" t="n">
        <x:v>0</x:v>
      </x:c>
      <x:c r="W300" s="21" t="n">
        <x:v>0</x:v>
      </x:c>
      <x:c r="X300" s="21" t="n">
        <x:v>0</x:v>
      </x:c>
      <x:c r="Y300" s="21" t="n">
        <x:v>0</x:v>
      </x:c>
      <x:c r="Z300" s="21" t="n">
        <x:v>0</x:v>
      </x:c>
      <x:c r="AA300" s="21" t="n">
        <x:v>0</x:v>
      </x:c>
      <x:c r="AB300" s="21" t="n">
        <x:v>0</x:v>
      </x:c>
      <x:c r="AC300" s="21" t="n">
        <x:v>0.744289156626506</x:v>
      </x:c>
      <x:c r="AD300" s="21" t="n">
        <x:v>0.4651807228915662</x:v>
      </x:c>
      <x:c r="AE300" s="21" t="n">
        <x:v>0.27910843373493976</x:v>
      </x:c>
      <x:c r="AF300" s="21" t="n">
        <x:v>2.232867469879518</x:v>
      </x:c>
      <x:c r="AG300" s="21" t="n">
        <x:v>0</x:v>
      </x:c>
      <x:c r="AH300" s="21" t="n">
        <x:v>0</x:v>
      </x:c>
      <x:c r="AI300" s="21" t="n">
        <x:v>0</x:v>
      </x:c>
      <x:c r="AJ300" s="21" t="n">
        <x:v>0</x:v>
      </x:c>
      <x:c r="AK300" s="21" t="n">
        <x:v>0</x:v>
      </x:c>
      <x:c r="AL300" s="21" t="n">
        <x:v>0</x:v>
      </x:c>
      <x:c r="AM300" s="21" t="n">
        <x:v>1</x:v>
      </x:c>
      <x:c r="AN300" s="21" t="n">
        <x:v>1</x:v>
      </x:c>
      <x:c r="AO300" s="21" t="n">
        <x:v>1</x:v>
      </x:c>
      <x:c r="AP300" s="21" t="n">
        <x:v>0.99</x:v>
      </x:c>
      <x:c r="AQ300" s="21" t="n">
        <x:v>1</x:v>
      </x:c>
      <x:c r="AR300" s="21" t="n">
        <x:v>1</x:v>
      </x:c>
      <x:c r="AS300" s="21" t="n">
        <x:v>1</x:v>
      </x:c>
      <x:c r="AT300" s="21" t="n">
        <x:v>1</x:v>
      </x:c>
      <x:c r="AU300" s="21" t="n">
        <x:v>0</x:v>
      </x:c>
      <x:c r="AV300" s="22" t="n">
        <x:f>IF(C300="QB",N300*0.04+O300*4-P300*2+R300*0.1+S300*6,IF(OR(C300="RB",C300="WR",C300="TE"),U300*0.1+V300*6+R300*0.1+S300*6+X300*0.5+Y300*0.1+Z300*6,IF(C300="K",AC300*3+AD300*4+AE300*5+AF300,IF(C300="DST",AG300+AH300*2+AI300*6+AL300,0))))</x:f>
        <x:v>7.7219999999999995</x:v>
      </x:c>
      <x:c r="AW300" s="22" t="n">
        <x:f>(AV300+AU300)*G300</x:f>
        <x:v>0</x:v>
      </x:c>
      <x:c r="AX300" s="22" t="n">
        <x:f>MAX(0,AW300*IF(C300="QB",0.68,IF(C300="RB",0.58,IF(C300="WR",0.52,IF(C300="TE",0.50,IF(C300="K",0.55,0.40))))))</x:f>
        <x:v>0</x:v>
      </x:c>
      <x:c r="AY300" s="22" t="n">
        <x:f>AW300*IF(C300="QB",1.32,IF(C300="RB",1.45,IF(C300="WR",1.55,IF(C300="TE",1.60,IF(C300="K",1.45,1.65)))))</x:f>
        <x:v>0</x:v>
      </x:c>
      <x:c r="AZ300" s="12" t="str">
        <x:v>High</x:v>
      </x:c>
      <x:c r="BA300" s="12" t="n">
        <x:v>3</x:v>
      </x:c>
      <x:c r="BB300" s="12"/>
      <x:c r="BC300" s="12" t="n">
        <x:v>27</x:v>
      </x:c>
      <x:c r="BD300" s="12" t="str">
        <x:v>↑</x:v>
      </x:c>
      <x:c r="BE300" s="23" t="str">
        <x:v>https://www.reuters.com/sports/agents-saints-signing-all-pro-k-daniel-carlson--flm-2026-08-24/</x:v>
      </x:c>
      <x:c r="BF300" s="23" t="str">
        <x:v>Daniel Carlson is New Orleans’ active kicker.</x:v>
      </x:c>
      <x:c r="BG300" s="23" t="str">
        <x:v>Verified active-roster transaction</x:v>
      </x:c>
      <x:c r="BH300" s="24" t="str">
        <x:v>2026-09-24 1:18 PM CT</x:v>
      </x:c>
    </x:row>
    <x:row r="301">
      <x:c r="A301" s="12" t="str">
        <x:v>Cairo Santos</x:v>
      </x:c>
      <x:c r="B301" s="12" t="str">
        <x:v>CHI</x:v>
      </x:c>
      <x:c r="C301" s="12" t="str">
        <x:v>K</x:v>
      </x:c>
      <x:c r="D301" s="12" t="str">
        <x:v>PHI</x:v>
      </x:c>
      <x:c r="E301" s="12" t="str">
        <x:v>Home</x:v>
      </x:c>
      <x:c r="F301" s="12" t="str">
        <x:v>2026-09-28</x:v>
      </x:c>
      <x:c r="G301" s="19" t="n">
        <x:v>1</x:v>
      </x:c>
      <x:c r="H301" s="20" t="str">
        <x:v>ACTIVE</x:v>
      </x:c>
      <x:c r="I301" s="20" t="n">
        <x:v>10</x:v>
      </x:c>
      <x:c r="J301" s="20" t="str">
        <x:v>Scoring drives</x:v>
      </x:c>
      <x:c r="K301" s="20" t="n">
        <x:v>4.096385542168674</x:v>
      </x:c>
      <x:c r="L301" s="21" t="n">
        <x:v>0</x:v>
      </x:c>
      <x:c r="M301" s="21" t="n">
        <x:v>0</x:v>
      </x:c>
      <x:c r="N301" s="21" t="n">
        <x:v>0</x:v>
      </x:c>
      <x:c r="O301" s="21" t="n">
        <x:v>0</x:v>
      </x:c>
      <x:c r="P301" s="21" t="n">
        <x:v>0</x:v>
      </x:c>
      <x:c r="Q301" s="21" t="n">
        <x:v>0</x:v>
      </x:c>
      <x:c r="R301" s="21" t="n">
        <x:v>0</x:v>
      </x:c>
      <x:c r="S301" s="21" t="n">
        <x:v>0</x:v>
      </x:c>
      <x:c r="T301" s="21" t="n">
        <x:v>0</x:v>
      </x:c>
      <x:c r="U301" s="21" t="n">
        <x:v>0</x:v>
      </x:c>
      <x:c r="V301" s="21" t="n">
        <x:v>0</x:v>
      </x:c>
      <x:c r="W301" s="21" t="n">
        <x:v>0</x:v>
      </x:c>
      <x:c r="X301" s="21" t="n">
        <x:v>0</x:v>
      </x:c>
      <x:c r="Y301" s="21" t="n">
        <x:v>0</x:v>
      </x:c>
      <x:c r="Z301" s="21" t="n">
        <x:v>0</x:v>
      </x:c>
      <x:c r="AA301" s="21" t="n">
        <x:v>0</x:v>
      </x:c>
      <x:c r="AB301" s="21" t="n">
        <x:v>0</x:v>
      </x:c>
      <x:c r="AC301" s="21" t="n">
        <x:v>0.7393156626506022</x:v>
      </x:c>
      <x:c r="AD301" s="21" t="n">
        <x:v>0.46207228915662635</x:v>
      </x:c>
      <x:c r="AE301" s="21" t="n">
        <x:v>0.2772433734939758</x:v>
      </x:c>
      <x:c r="AF301" s="21" t="n">
        <x:v>2.2179469879518066</x:v>
      </x:c>
      <x:c r="AG301" s="21" t="n">
        <x:v>0</x:v>
      </x:c>
      <x:c r="AH301" s="21" t="n">
        <x:v>0</x:v>
      </x:c>
      <x:c r="AI301" s="21" t="n">
        <x:v>0</x:v>
      </x:c>
      <x:c r="AJ301" s="21" t="n">
        <x:v>0</x:v>
      </x:c>
      <x:c r="AK301" s="21" t="n">
        <x:v>0</x:v>
      </x:c>
      <x:c r="AL301" s="21" t="n">
        <x:v>0</x:v>
      </x:c>
      <x:c r="AM301" s="21" t="n">
        <x:v>1</x:v>
      </x:c>
      <x:c r="AN301" s="21" t="n">
        <x:v>1</x:v>
      </x:c>
      <x:c r="AO301" s="21" t="n">
        <x:v>1</x:v>
      </x:c>
      <x:c r="AP301" s="21" t="n">
        <x:v>0.96</x:v>
      </x:c>
      <x:c r="AQ301" s="21" t="n">
        <x:v>0.94</x:v>
      </x:c>
      <x:c r="AR301" s="21" t="n">
        <x:v>1</x:v>
      </x:c>
      <x:c r="AS301" s="21" t="n">
        <x:v>1</x:v>
      </x:c>
      <x:c r="AT301" s="21" t="n">
        <x:v>1</x:v>
      </x:c>
      <x:c r="AU301" s="21" t="n">
        <x:v>0</x:v>
      </x:c>
      <x:c r="AV301" s="22" t="n">
        <x:f>IF(C301="QB",N301*0.04+O301*4-P301*2+R301*0.1+S301*6,IF(OR(C301="RB",C301="WR",C301="TE"),U301*0.1+V301*6+R301*0.1+S301*6+X301*0.5+Y301*0.1+Z301*6,IF(C301="K",AC301*3+AD301*4+AE301*5+AF301,IF(C301="DST",AG301+AH301*2+AI301*6+AL301,0))))</x:f>
        <x:v>7.670399999999997</x:v>
      </x:c>
      <x:c r="AW301" s="22" t="n">
        <x:f>(AV301+AU301)*G301</x:f>
        <x:v>7.670399999999997</x:v>
      </x:c>
      <x:c r="AX301" s="22" t="n">
        <x:f>MAX(0,AW301*IF(C301="QB",0.68,IF(C301="RB",0.58,IF(C301="WR",0.52,IF(C301="TE",0.50,IF(C301="K",0.55,0.40))))))</x:f>
        <x:v>4.2187199999999985</x:v>
      </x:c>
      <x:c r="AY301" s="22" t="n">
        <x:f>AW301*IF(C301="QB",1.32,IF(C301="RB",1.45,IF(C301="WR",1.55,IF(C301="TE",1.60,IF(C301="K",1.45,1.65)))))</x:f>
        <x:v>11.122079999999995</x:v>
      </x:c>
      <x:c r="AZ301" s="12" t="str">
        <x:v>High</x:v>
      </x:c>
      <x:c r="BA301" s="12" t="n">
        <x:v>3</x:v>
      </x:c>
      <x:c r="BB301" s="12" t="n">
        <x:f>COUNTIFS($C$2:$C$344,C301,$AW$2:$AW$344,"&gt;"&amp;AW301,$G$2:$G$344,"&gt;0")+COUNTIFS($C$2:C301,C301,$AW$2:AW301,AW301,$G$2:G301,"&gt;0")</x:f>
        <x:v>21</x:v>
      </x:c>
      <x:c r="BC301" s="12" t="n">
        <x:v>21</x:v>
      </x:c>
      <x:c r="BD301" s="12" t="str">
        <x:f>IF(BB301&lt;BC301,"↑",IF(BB301&gt;BC301,"↓","→"))</x:f>
        <x:v>→</x:v>
      </x:c>
      <x:c r="BE301" s="23" t="str">
        <x:v>Fantasy Football Brief ROS baseline; official NFL schedule</x:v>
      </x:c>
      <x:c r="BF301" s="23" t="str">
        <x:v>Current role and availability baseline; all adjustment factors shown numerically</x:v>
      </x:c>
      <x:c r="BG301" s="23" t="str">
        <x:v>Material injury, depth-chart, or role change</x:v>
      </x:c>
      <x:c r="BH301" s="24" t="str">
        <x:v>2026-09-23 10:35 CT</x:v>
      </x:c>
    </x:row>
    <x:row r="302">
      <x:c r="A302" s="12" t="str">
        <x:v>Daniel Carlson</x:v>
      </x:c>
      <x:c r="B302" s="12" t="str">
        <x:v>NO</x:v>
      </x:c>
      <x:c r="C302" s="12" t="str">
        <x:v>K</x:v>
      </x:c>
      <x:c r="D302" s="12" t="str">
        <x:v>LV</x:v>
      </x:c>
      <x:c r="E302" s="12" t="str">
        <x:v>Home</x:v>
      </x:c>
      <x:c r="F302" s="12" t="str">
        <x:v>2026-09-27</x:v>
      </x:c>
      <x:c r="G302" s="19" t="n">
        <x:v>1</x:v>
      </x:c>
      <x:c r="H302" s="20" t="str">
        <x:v>ACTIVE</x:v>
      </x:c>
      <x:c r="I302" s="20" t="n">
        <x:v>10</x:v>
      </x:c>
      <x:c r="J302" s="20" t="str">
        <x:v>Scoring drives</x:v>
      </x:c>
      <x:c r="K302" s="20" t="n">
        <x:v>3.710843373493976</x:v>
      </x:c>
      <x:c r="L302" s="21" t="n">
        <x:v>0</x:v>
      </x:c>
      <x:c r="M302" s="21" t="n">
        <x:v>0</x:v>
      </x:c>
      <x:c r="N302" s="21" t="n">
        <x:v>0</x:v>
      </x:c>
      <x:c r="O302" s="21" t="n">
        <x:v>0</x:v>
      </x:c>
      <x:c r="P302" s="21" t="n">
        <x:v>0</x:v>
      </x:c>
      <x:c r="Q302" s="21" t="n">
        <x:v>0</x:v>
      </x:c>
      <x:c r="R302" s="21" t="n">
        <x:v>0</x:v>
      </x:c>
      <x:c r="S302" s="21" t="n">
        <x:v>0</x:v>
      </x:c>
      <x:c r="T302" s="21" t="n">
        <x:v>0</x:v>
      </x:c>
      <x:c r="U302" s="21" t="n">
        <x:v>0</x:v>
      </x:c>
      <x:c r="V302" s="21" t="n">
        <x:v>0</x:v>
      </x:c>
      <x:c r="W302" s="21" t="n">
        <x:v>0</x:v>
      </x:c>
      <x:c r="X302" s="21" t="n">
        <x:v>0</x:v>
      </x:c>
      <x:c r="Y302" s="21" t="n">
        <x:v>0</x:v>
      </x:c>
      <x:c r="Z302" s="21" t="n">
        <x:v>0</x:v>
      </x:c>
      <x:c r="AA302" s="21" t="n">
        <x:v>0</x:v>
      </x:c>
      <x:c r="AB302" s="21" t="n">
        <x:v>0</x:v>
      </x:c>
      <x:c r="AC302" s="21" t="n">
        <x:v>0.7347469879518073</x:v>
      </x:c>
      <x:c r="AD302" s="21" t="n">
        <x:v>0.4592168674698795</x:v>
      </x:c>
      <x:c r="AE302" s="21" t="n">
        <x:v>0.2755301204819277</x:v>
      </x:c>
      <x:c r="AF302" s="21" t="n">
        <x:v>2.2042409638554217</x:v>
      </x:c>
      <x:c r="AG302" s="21" t="n">
        <x:v>0</x:v>
      </x:c>
      <x:c r="AH302" s="21" t="n">
        <x:v>0</x:v>
      </x:c>
      <x:c r="AI302" s="21" t="n">
        <x:v>0</x:v>
      </x:c>
      <x:c r="AJ302" s="21" t="n">
        <x:v>0</x:v>
      </x:c>
      <x:c r="AK302" s="21" t="n">
        <x:v>0</x:v>
      </x:c>
      <x:c r="AL302" s="21" t="n">
        <x:v>0</x:v>
      </x:c>
      <x:c r="AM302" s="21" t="n">
        <x:v>1</x:v>
      </x:c>
      <x:c r="AN302" s="21" t="n">
        <x:v>1</x:v>
      </x:c>
      <x:c r="AO302" s="21" t="n">
        <x:v>1</x:v>
      </x:c>
      <x:c r="AP302" s="21" t="n">
        <x:v>0.99</x:v>
      </x:c>
      <x:c r="AQ302" s="21" t="n">
        <x:v>1</x:v>
      </x:c>
      <x:c r="AR302" s="21" t="n">
        <x:v>1</x:v>
      </x:c>
      <x:c r="AS302" s="21" t="n">
        <x:v>1</x:v>
      </x:c>
      <x:c r="AT302" s="21" t="n">
        <x:v>1</x:v>
      </x:c>
      <x:c r="AU302" s="21" t="n">
        <x:v>0</x:v>
      </x:c>
      <x:c r="AV302" s="22" t="n">
        <x:f>IF(C302="QB",N302*0.04+O302*4-P302*2+R302*0.1+S302*6,IF(OR(C302="RB",C302="WR",C302="TE"),U302*0.1+V302*6+R302*0.1+S302*6+X302*0.5+Y302*0.1+Z302*6,IF(C302="K",AC302*3+AD302*4+AE302*5+AF302,IF(C302="DST",AG302+AH302*2+AI302*6+AL302,0))))</x:f>
        <x:v>7.623</x:v>
      </x:c>
      <x:c r="AW302" s="22" t="n">
        <x:f>(AV302+AU302)*G302</x:f>
        <x:v>7.623</x:v>
      </x:c>
      <x:c r="AX302" s="22" t="n">
        <x:f>MAX(0,AW302*IF(C302="QB",0.68,IF(C302="RB",0.58,IF(C302="WR",0.52,IF(C302="TE",0.50,IF(C302="K",0.55,0.40))))))</x:f>
        <x:v>4.19265</x:v>
      </x:c>
      <x:c r="AY302" s="22" t="n">
        <x:f>AW302*IF(C302="QB",1.32,IF(C302="RB",1.45,IF(C302="WR",1.55,IF(C302="TE",1.60,IF(C302="K",1.45,1.65)))))</x:f>
        <x:v>11.05335</x:v>
      </x:c>
      <x:c r="AZ302" s="12" t="str">
        <x:v>High</x:v>
      </x:c>
      <x:c r="BA302" s="12" t="n">
        <x:v>3</x:v>
      </x:c>
      <x:c r="BB302" s="12" t="n">
        <x:f>COUNTIFS($C$2:$C$344,C302,$AW$2:$AW$344,"&gt;"&amp;AW302,$G$2:$G$344,"&gt;0")+COUNTIFS($C$2:C302,C302,$AW$2:AW302,AW302,$G$2:G302,"&gt;0")</x:f>
        <x:v>22</x:v>
      </x:c>
      <x:c r="BC302" s="12" t="n">
        <x:v>22</x:v>
      </x:c>
      <x:c r="BD302" s="12" t="str">
        <x:f>IF(BB302&lt;BC302,"↑",IF(BB302&gt;BC302,"↓","→"))</x:f>
        <x:v>→</x:v>
      </x:c>
      <x:c r="BE302" s="23" t="str">
        <x:v>Fantasy Football Brief ROS baseline; official NFL schedule</x:v>
      </x:c>
      <x:c r="BF302" s="23" t="str">
        <x:v>Current role and availability baseline; all adjustment factors shown numerically</x:v>
      </x:c>
      <x:c r="BG302" s="23" t="str">
        <x:v>Material injury, depth-chart, or role change</x:v>
      </x:c>
      <x:c r="BH302" s="24" t="str">
        <x:v>2026-09-23 10:35 CT</x:v>
      </x:c>
    </x:row>
    <x:row r="303">
      <x:c r="A303" s="12" t="str">
        <x:v>Joey Slye</x:v>
      </x:c>
      <x:c r="B303" s="12" t="str">
        <x:v>TEN</x:v>
      </x:c>
      <x:c r="C303" s="12" t="str">
        <x:v>K</x:v>
      </x:c>
      <x:c r="D303" s="12" t="str">
        <x:v>NYG</x:v>
      </x:c>
      <x:c r="E303" s="12" t="str">
        <x:v>Away</x:v>
      </x:c>
      <x:c r="F303" s="12" t="str">
        <x:v>2026-09-27</x:v>
      </x:c>
      <x:c r="G303" s="19" t="n">
        <x:v>1</x:v>
      </x:c>
      <x:c r="H303" s="20" t="str">
        <x:v>ACTIVE</x:v>
      </x:c>
      <x:c r="I303" s="20" t="n">
        <x:v>10</x:v>
      </x:c>
      <x:c r="J303" s="20" t="str">
        <x:v>Scoring drives</x:v>
      </x:c>
      <x:c r="K303" s="20" t="n">
        <x:v>3.710843373493976</x:v>
      </x:c>
      <x:c r="L303" s="21" t="n">
        <x:v>0</x:v>
      </x:c>
      <x:c r="M303" s="21" t="n">
        <x:v>0</x:v>
      </x:c>
      <x:c r="N303" s="21" t="n">
        <x:v>0</x:v>
      </x:c>
      <x:c r="O303" s="21" t="n">
        <x:v>0</x:v>
      </x:c>
      <x:c r="P303" s="21" t="n">
        <x:v>0</x:v>
      </x:c>
      <x:c r="Q303" s="21" t="n">
        <x:v>0</x:v>
      </x:c>
      <x:c r="R303" s="21" t="n">
        <x:v>0</x:v>
      </x:c>
      <x:c r="S303" s="21" t="n">
        <x:v>0</x:v>
      </x:c>
      <x:c r="T303" s="21" t="n">
        <x:v>0</x:v>
      </x:c>
      <x:c r="U303" s="21" t="n">
        <x:v>0</x:v>
      </x:c>
      <x:c r="V303" s="21" t="n">
        <x:v>0</x:v>
      </x:c>
      <x:c r="W303" s="21" t="n">
        <x:v>0</x:v>
      </x:c>
      <x:c r="X303" s="21" t="n">
        <x:v>0</x:v>
      </x:c>
      <x:c r="Y303" s="21" t="n">
        <x:v>0</x:v>
      </x:c>
      <x:c r="Z303" s="21" t="n">
        <x:v>0</x:v>
      </x:c>
      <x:c r="AA303" s="21" t="n">
        <x:v>0</x:v>
      </x:c>
      <x:c r="AB303" s="21" t="n">
        <x:v>0</x:v>
      </x:c>
      <x:c r="AC303" s="21" t="n">
        <x:v>0.7338563855421687</x:v>
      </x:c>
      <x:c r="AD303" s="21" t="n">
        <x:v>0.45866024096385544</x:v>
      </x:c>
      <x:c r="AE303" s="21" t="n">
        <x:v>0.27519614457831326</x:v>
      </x:c>
      <x:c r="AF303" s="21" t="n">
        <x:v>2.201569156626506</x:v>
      </x:c>
      <x:c r="AG303" s="21" t="n">
        <x:v>0</x:v>
      </x:c>
      <x:c r="AH303" s="21" t="n">
        <x:v>0</x:v>
      </x:c>
      <x:c r="AI303" s="21" t="n">
        <x:v>0</x:v>
      </x:c>
      <x:c r="AJ303" s="21" t="n">
        <x:v>0</x:v>
      </x:c>
      <x:c r="AK303" s="21" t="n">
        <x:v>0</x:v>
      </x:c>
      <x:c r="AL303" s="21" t="n">
        <x:v>0</x:v>
      </x:c>
      <x:c r="AM303" s="21" t="n">
        <x:v>1</x:v>
      </x:c>
      <x:c r="AN303" s="21" t="n">
        <x:v>1</x:v>
      </x:c>
      <x:c r="AO303" s="21" t="n">
        <x:v>1</x:v>
      </x:c>
      <x:c r="AP303" s="21" t="n">
        <x:v>0.96</x:v>
      </x:c>
      <x:c r="AQ303" s="21" t="n">
        <x:v>1.03</x:v>
      </x:c>
      <x:c r="AR303" s="21" t="n">
        <x:v>1</x:v>
      </x:c>
      <x:c r="AS303" s="21" t="n">
        <x:v>1</x:v>
      </x:c>
      <x:c r="AT303" s="21" t="n">
        <x:v>1</x:v>
      </x:c>
      <x:c r="AU303" s="21" t="n">
        <x:v>0</x:v>
      </x:c>
      <x:c r="AV303" s="22" t="n">
        <x:f>IF(C303="QB",N303*0.04+O303*4-P303*2+R303*0.1+S303*6,IF(OR(C303="RB",C303="WR",C303="TE"),U303*0.1+V303*6+R303*0.1+S303*6+X303*0.5+Y303*0.1+Z303*6,IF(C303="K",AC303*3+AD303*4+AE303*5+AF303,IF(C303="DST",AG303+AH303*2+AI303*6+AL303,0))))</x:f>
        <x:v>7.613760000000001</x:v>
      </x:c>
      <x:c r="AW303" s="22" t="n">
        <x:f>(AV303+AU303)*G303</x:f>
        <x:v>7.613760000000001</x:v>
      </x:c>
      <x:c r="AX303" s="22" t="n">
        <x:f>MAX(0,AW303*IF(C303="QB",0.68,IF(C303="RB",0.58,IF(C303="WR",0.52,IF(C303="TE",0.50,IF(C303="K",0.55,0.40))))))</x:f>
        <x:v>4.187568000000001</x:v>
      </x:c>
      <x:c r="AY303" s="22" t="n">
        <x:f>AW303*IF(C303="QB",1.32,IF(C303="RB",1.45,IF(C303="WR",1.55,IF(C303="TE",1.60,IF(C303="K",1.45,1.65)))))</x:f>
        <x:v>11.039952000000001</x:v>
      </x:c>
      <x:c r="AZ303" s="12" t="str">
        <x:v>High</x:v>
      </x:c>
      <x:c r="BA303" s="12" t="n">
        <x:v>4</x:v>
      </x:c>
      <x:c r="BB303" s="12" t="n">
        <x:f>COUNTIFS($C$2:$C$344,C303,$AW$2:$AW$344,"&gt;"&amp;AW303,$G$2:$G$344,"&gt;0")+COUNTIFS($C$2:C303,C303,$AW$2:AW303,AW303,$G$2:G303,"&gt;0")</x:f>
        <x:v>23</x:v>
      </x:c>
      <x:c r="BC303" s="12" t="n">
        <x:v>23</x:v>
      </x:c>
      <x:c r="BD303" s="12" t="str">
        <x:f>IF(BB303&lt;BC303,"↑",IF(BB303&gt;BC303,"↓","→"))</x:f>
        <x:v>→</x:v>
      </x:c>
      <x:c r="BE303" s="23" t="str">
        <x:v>Fantasy Football Brief ROS baseline; official NFL schedule</x:v>
      </x:c>
      <x:c r="BF303" s="23" t="str">
        <x:v>Current role and availability baseline; all adjustment factors shown numerically</x:v>
      </x:c>
      <x:c r="BG303" s="23" t="str">
        <x:v>Material injury, depth-chart, or role change</x:v>
      </x:c>
      <x:c r="BH303" s="24" t="str">
        <x:v>2026-09-23 10:35 CT</x:v>
      </x:c>
    </x:row>
    <x:row r="304">
      <x:c r="A304" s="12" t="str">
        <x:v>Spencer Shrader</x:v>
      </x:c>
      <x:c r="B304" s="12" t="str">
        <x:v>IND</x:v>
      </x:c>
      <x:c r="C304" s="12" t="str">
        <x:v>K</x:v>
      </x:c>
      <x:c r="D304" s="12" t="str">
        <x:v>HOU</x:v>
      </x:c>
      <x:c r="E304" s="12" t="str">
        <x:v>Home</x:v>
      </x:c>
      <x:c r="F304" s="12" t="str">
        <x:v>2026-09-27</x:v>
      </x:c>
      <x:c r="G304" s="19" t="n">
        <x:v>1</x:v>
      </x:c>
      <x:c r="H304" s="20" t="str">
        <x:v>ACTIVE</x:v>
      </x:c>
      <x:c r="I304" s="20" t="n">
        <x:v>10</x:v>
      </x:c>
      <x:c r="J304" s="20" t="str">
        <x:v>Scoring drives</x:v>
      </x:c>
      <x:c r="K304" s="20" t="n">
        <x:v>3.8072289156626504</x:v>
      </x:c>
      <x:c r="L304" s="21" t="n">
        <x:v>0</x:v>
      </x:c>
      <x:c r="M304" s="21" t="n">
        <x:v>0</x:v>
      </x:c>
      <x:c r="N304" s="21" t="n">
        <x:v>0</x:v>
      </x:c>
      <x:c r="O304" s="21" t="n">
        <x:v>0</x:v>
      </x:c>
      <x:c r="P304" s="21" t="n">
        <x:v>0</x:v>
      </x:c>
      <x:c r="Q304" s="21" t="n">
        <x:v>0</x:v>
      </x:c>
      <x:c r="R304" s="21" t="n">
        <x:v>0</x:v>
      </x:c>
      <x:c r="S304" s="21" t="n">
        <x:v>0</x:v>
      </x:c>
      <x:c r="T304" s="21" t="n">
        <x:v>0</x:v>
      </x:c>
      <x:c r="U304" s="21" t="n">
        <x:v>0</x:v>
      </x:c>
      <x:c r="V304" s="21" t="n">
        <x:v>0</x:v>
      </x:c>
      <x:c r="W304" s="21" t="n">
        <x:v>0</x:v>
      </x:c>
      <x:c r="X304" s="21" t="n">
        <x:v>0</x:v>
      </x:c>
      <x:c r="Y304" s="21" t="n">
        <x:v>0</x:v>
      </x:c>
      <x:c r="Z304" s="21" t="n">
        <x:v>0</x:v>
      </x:c>
      <x:c r="AA304" s="21" t="n">
        <x:v>0</x:v>
      </x:c>
      <x:c r="AB304" s="21" t="n">
        <x:v>0</x:v>
      </x:c>
      <x:c r="AC304" s="21" t="n">
        <x:v>0.7233734939759036</x:v>
      </x:c>
      <x:c r="AD304" s="21" t="n">
        <x:v>0.4521084337349397</x:v>
      </x:c>
      <x:c r="AE304" s="21" t="n">
        <x:v>0.2712650602409638</x:v>
      </x:c>
      <x:c r="AF304" s="21" t="n">
        <x:v>2.1701204819277105</x:v>
      </x:c>
      <x:c r="AG304" s="21" t="n">
        <x:v>0</x:v>
      </x:c>
      <x:c r="AH304" s="21" t="n">
        <x:v>0</x:v>
      </x:c>
      <x:c r="AI304" s="21" t="n">
        <x:v>0</x:v>
      </x:c>
      <x:c r="AJ304" s="21" t="n">
        <x:v>0</x:v>
      </x:c>
      <x:c r="AK304" s="21" t="n">
        <x:v>0</x:v>
      </x:c>
      <x:c r="AL304" s="21" t="n">
        <x:v>0</x:v>
      </x:c>
      <x:c r="AM304" s="21" t="n">
        <x:v>1</x:v>
      </x:c>
      <x:c r="AN304" s="21" t="n">
        <x:v>1</x:v>
      </x:c>
      <x:c r="AO304" s="21" t="n">
        <x:v>1</x:v>
      </x:c>
      <x:c r="AP304" s="21" t="n">
        <x:v>1</x:v>
      </x:c>
      <x:c r="AQ304" s="21" t="n">
        <x:v>0.95</x:v>
      </x:c>
      <x:c r="AR304" s="21" t="n">
        <x:v>1</x:v>
      </x:c>
      <x:c r="AS304" s="21" t="n">
        <x:v>1</x:v>
      </x:c>
      <x:c r="AT304" s="21" t="n">
        <x:v>1</x:v>
      </x:c>
      <x:c r="AU304" s="21" t="n">
        <x:v>0</x:v>
      </x:c>
      <x:c r="AV304" s="22" t="n">
        <x:f>IF(C304="QB",N304*0.04+O304*4-P304*2+R304*0.1+S304*6,IF(OR(C304="RB",C304="WR",C304="TE"),U304*0.1+V304*6+R304*0.1+S304*6+X304*0.5+Y304*0.1+Z304*6,IF(C304="K",AC304*3+AD304*4+AE304*5+AF304,IF(C304="DST",AG304+AH304*2+AI304*6+AL304,0))))</x:f>
        <x:v>7.504999999999999</x:v>
      </x:c>
      <x:c r="AW304" s="22" t="n">
        <x:f>(AV304+AU304)*G304</x:f>
        <x:v>7.504999999999999</x:v>
      </x:c>
      <x:c r="AX304" s="22" t="n">
        <x:f>MAX(0,AW304*IF(C304="QB",0.68,IF(C304="RB",0.58,IF(C304="WR",0.52,IF(C304="TE",0.50,IF(C304="K",0.55,0.40))))))</x:f>
        <x:v>4.12775</x:v>
      </x:c>
      <x:c r="AY304" s="22" t="n">
        <x:f>AW304*IF(C304="QB",1.32,IF(C304="RB",1.45,IF(C304="WR",1.55,IF(C304="TE",1.60,IF(C304="K",1.45,1.65)))))</x:f>
        <x:v>10.882249999999999</x:v>
      </x:c>
      <x:c r="AZ304" s="12" t="str">
        <x:v>High</x:v>
      </x:c>
      <x:c r="BA304" s="12" t="n">
        <x:v>4</x:v>
      </x:c>
      <x:c r="BB304" s="12" t="n">
        <x:f>COUNTIFS($C$2:$C$344,C304,$AW$2:$AW$344,"&gt;"&amp;AW304,$G$2:$G$344,"&gt;0")+COUNTIFS($C$2:C304,C304,$AW$2:AW304,AW304,$G$2:G304,"&gt;0")</x:f>
        <x:v>24</x:v>
      </x:c>
      <x:c r="BC304" s="12" t="n">
        <x:v>24</x:v>
      </x:c>
      <x:c r="BD304" s="12" t="str">
        <x:f>IF(BB304&lt;BC304,"↑",IF(BB304&gt;BC304,"↓","→"))</x:f>
        <x:v>→</x:v>
      </x:c>
      <x:c r="BE304" s="23" t="str">
        <x:v>Fantasy Football Brief ROS baseline; official NFL schedule</x:v>
      </x:c>
      <x:c r="BF304" s="23" t="str">
        <x:v>Current role and availability baseline; all adjustment factors shown numerically</x:v>
      </x:c>
      <x:c r="BG304" s="23" t="str">
        <x:v>Material injury, depth-chart, or role change</x:v>
      </x:c>
      <x:c r="BH304" s="24" t="str">
        <x:v>2026-09-23 10:35 CT</x:v>
      </x:c>
    </x:row>
    <x:row r="305">
      <x:c r="A305" s="12" t="str">
        <x:v>Nick Folk</x:v>
      </x:c>
      <x:c r="B305" s="12" t="str">
        <x:v>ATL</x:v>
      </x:c>
      <x:c r="C305" s="12" t="str">
        <x:v>K</x:v>
      </x:c>
      <x:c r="D305" s="12" t="str">
        <x:v>GB</x:v>
      </x:c>
      <x:c r="E305" s="12" t="str">
        <x:v>Away</x:v>
      </x:c>
      <x:c r="F305" s="12" t="str">
        <x:v>2026-09-24</x:v>
      </x:c>
      <x:c r="G305" s="19" t="n">
        <x:v>1</x:v>
      </x:c>
      <x:c r="H305" s="20" t="str">
        <x:v>ACTIVE</x:v>
      </x:c>
      <x:c r="I305" s="20" t="n">
        <x:v>10</x:v>
      </x:c>
      <x:c r="J305" s="20" t="str">
        <x:v>Scoring drives</x:v>
      </x:c>
      <x:c r="K305" s="20" t="n">
        <x:v>3.855421686746987</x:v>
      </x:c>
      <x:c r="L305" s="21" t="n">
        <x:v>0</x:v>
      </x:c>
      <x:c r="M305" s="21" t="n">
        <x:v>0</x:v>
      </x:c>
      <x:c r="N305" s="21" t="n">
        <x:v>0</x:v>
      </x:c>
      <x:c r="O305" s="21" t="n">
        <x:v>0</x:v>
      </x:c>
      <x:c r="P305" s="21" t="n">
        <x:v>0</x:v>
      </x:c>
      <x:c r="Q305" s="21" t="n">
        <x:v>0</x:v>
      </x:c>
      <x:c r="R305" s="21" t="n">
        <x:v>0</x:v>
      </x:c>
      <x:c r="S305" s="21" t="n">
        <x:v>0</x:v>
      </x:c>
      <x:c r="T305" s="21" t="n">
        <x:v>0</x:v>
      </x:c>
      <x:c r="U305" s="21" t="n">
        <x:v>0</x:v>
      </x:c>
      <x:c r="V305" s="21" t="n">
        <x:v>0</x:v>
      </x:c>
      <x:c r="W305" s="21" t="n">
        <x:v>0</x:v>
      </x:c>
      <x:c r="X305" s="21" t="n">
        <x:v>0</x:v>
      </x:c>
      <x:c r="Y305" s="21" t="n">
        <x:v>0</x:v>
      </x:c>
      <x:c r="Z305" s="21" t="n">
        <x:v>0</x:v>
      </x:c>
      <x:c r="AA305" s="21" t="n">
        <x:v>0</x:v>
      </x:c>
      <x:c r="AB305" s="21" t="n">
        <x:v>0</x:v>
      </x:c>
      <x:c r="AC305" s="21" t="n">
        <x:v>0.7180337349397589</x:v>
      </x:c>
      <x:c r="AD305" s="21" t="n">
        <x:v>0.4487710843373493</x:v>
      </x:c>
      <x:c r="AE305" s="21" t="n">
        <x:v>0.26926265060240956</x:v>
      </x:c>
      <x:c r="AF305" s="21" t="n">
        <x:v>2.1541012048192765</x:v>
      </x:c>
      <x:c r="AG305" s="21" t="n">
        <x:v>0</x:v>
      </x:c>
      <x:c r="AH305" s="21" t="n">
        <x:v>0</x:v>
      </x:c>
      <x:c r="AI305" s="21" t="n">
        <x:v>0</x:v>
      </x:c>
      <x:c r="AJ305" s="21" t="n">
        <x:v>0</x:v>
      </x:c>
      <x:c r="AK305" s="21" t="n">
        <x:v>0</x:v>
      </x:c>
      <x:c r="AL305" s="21" t="n">
        <x:v>0</x:v>
      </x:c>
      <x:c r="AM305" s="21" t="n">
        <x:v>1</x:v>
      </x:c>
      <x:c r="AN305" s="21" t="n">
        <x:v>1</x:v>
      </x:c>
      <x:c r="AO305" s="21" t="n">
        <x:v>1</x:v>
      </x:c>
      <x:c r="AP305" s="21" t="n">
        <x:v>0.97</x:v>
      </x:c>
      <x:c r="AQ305" s="21" t="n">
        <x:v>0.96</x:v>
      </x:c>
      <x:c r="AR305" s="21" t="n">
        <x:v>1</x:v>
      </x:c>
      <x:c r="AS305" s="21" t="n">
        <x:v>1</x:v>
      </x:c>
      <x:c r="AT305" s="21" t="n">
        <x:v>1</x:v>
      </x:c>
      <x:c r="AU305" s="21" t="n">
        <x:v>0</x:v>
      </x:c>
      <x:c r="AV305" s="22" t="n">
        <x:f>IF(C305="QB",N305*0.04+O305*4-P305*2+R305*0.1+S305*6,IF(OR(C305="RB",C305="WR",C305="TE"),U305*0.1+V305*6+R305*0.1+S305*6+X305*0.5+Y305*0.1+Z305*6,IF(C305="K",AC305*3+AD305*4+AE305*5+AF305,IF(C305="DST",AG305+AH305*2+AI305*6+AL305,0))))</x:f>
        <x:v>7.4495999999999984</x:v>
      </x:c>
      <x:c r="AW305" s="22" t="n">
        <x:f>(AV305+AU305)*G305</x:f>
        <x:v>7.4495999999999984</x:v>
      </x:c>
      <x:c r="AX305" s="22" t="n">
        <x:f>MAX(0,AW305*IF(C305="QB",0.68,IF(C305="RB",0.58,IF(C305="WR",0.52,IF(C305="TE",0.50,IF(C305="K",0.55,0.40))))))</x:f>
        <x:v>4.09728</x:v>
      </x:c>
      <x:c r="AY305" s="22" t="n">
        <x:f>AW305*IF(C305="QB",1.32,IF(C305="RB",1.45,IF(C305="WR",1.55,IF(C305="TE",1.60,IF(C305="K",1.45,1.65)))))</x:f>
        <x:v>10.801919999999997</x:v>
      </x:c>
      <x:c r="AZ305" s="12" t="str">
        <x:v>High</x:v>
      </x:c>
      <x:c r="BA305" s="12" t="n">
        <x:v>4</x:v>
      </x:c>
      <x:c r="BB305" s="12" t="n">
        <x:f>COUNTIFS($C$2:$C$344,C305,$AW$2:$AW$344,"&gt;"&amp;AW305,$G$2:$G$344,"&gt;0")+COUNTIFS($C$2:C305,C305,$AW$2:AW305,AW305,$G$2:G305,"&gt;0")</x:f>
        <x:v>25</x:v>
      </x:c>
      <x:c r="BC305" s="12" t="n">
        <x:v>25</x:v>
      </x:c>
      <x:c r="BD305" s="12" t="str">
        <x:f>IF(BB305&lt;BC305,"↑",IF(BB305&gt;BC305,"↓","→"))</x:f>
        <x:v>→</x:v>
      </x:c>
      <x:c r="BE305" s="23" t="str">
        <x:v>Fantasy Football Brief ROS baseline; official NFL schedule</x:v>
      </x:c>
      <x:c r="BF305" s="23" t="str">
        <x:v>Current role and availability baseline; all adjustment factors shown numerically</x:v>
      </x:c>
      <x:c r="BG305" s="23" t="str">
        <x:v>Material injury, depth-chart, or role change</x:v>
      </x:c>
      <x:c r="BH305" s="24" t="str">
        <x:v>2026-09-23 10:35 CT</x:v>
      </x:c>
    </x:row>
    <x:row r="306">
      <x:c r="A306" s="12" t="str">
        <x:v>Matt Gay</x:v>
      </x:c>
      <x:c r="B306" s="12" t="str">
        <x:v>LV</x:v>
      </x:c>
      <x:c r="C306" s="12" t="str">
        <x:v>K</x:v>
      </x:c>
      <x:c r="D306" s="12" t="str">
        <x:v>NO</x:v>
      </x:c>
      <x:c r="E306" s="12" t="str">
        <x:v>Away</x:v>
      </x:c>
      <x:c r="F306" s="12" t="str">
        <x:v>2026-09-27</x:v>
      </x:c>
      <x:c r="G306" s="19" t="n">
        <x:v>1</x:v>
      </x:c>
      <x:c r="H306" s="20" t="str">
        <x:v>ACTIVE</x:v>
      </x:c>
      <x:c r="I306" s="20" t="n">
        <x:v>10</x:v>
      </x:c>
      <x:c r="J306" s="20" t="str">
        <x:v>Scoring drives</x:v>
      </x:c>
      <x:c r="K306" s="20" t="n">
        <x:v>3.421686746987951</x:v>
      </x:c>
      <x:c r="L306" s="21" t="n">
        <x:v>0</x:v>
      </x:c>
      <x:c r="M306" s="21" t="n">
        <x:v>0</x:v>
      </x:c>
      <x:c r="N306" s="21" t="n">
        <x:v>0</x:v>
      </x:c>
      <x:c r="O306" s="21" t="n">
        <x:v>0</x:v>
      </x:c>
      <x:c r="P306" s="21" t="n">
        <x:v>0</x:v>
      </x:c>
      <x:c r="Q306" s="21" t="n">
        <x:v>0</x:v>
      </x:c>
      <x:c r="R306" s="21" t="n">
        <x:v>0</x:v>
      </x:c>
      <x:c r="S306" s="21" t="n">
        <x:v>0</x:v>
      </x:c>
      <x:c r="T306" s="21" t="n">
        <x:v>0</x:v>
      </x:c>
      <x:c r="U306" s="21" t="n">
        <x:v>0</x:v>
      </x:c>
      <x:c r="V306" s="21" t="n">
        <x:v>0</x:v>
      </x:c>
      <x:c r="W306" s="21" t="n">
        <x:v>0</x:v>
      </x:c>
      <x:c r="X306" s="21" t="n">
        <x:v>0</x:v>
      </x:c>
      <x:c r="Y306" s="21" t="n">
        <x:v>0</x:v>
      </x:c>
      <x:c r="Z306" s="21" t="n">
        <x:v>0</x:v>
      </x:c>
      <x:c r="AA306" s="21" t="n">
        <x:v>0</x:v>
      </x:c>
      <x:c r="AB306" s="21" t="n">
        <x:v>0</x:v>
      </x:c>
      <x:c r="AC306" s="21" t="n">
        <x:v>0.6840636144578313</x:v>
      </x:c>
      <x:c r="AD306" s="21" t="n">
        <x:v>0.42753975903614455</x:v>
      </x:c>
      <x:c r="AE306" s="21" t="n">
        <x:v>0.2565238554216867</x:v>
      </x:c>
      <x:c r="AF306" s="21" t="n">
        <x:v>2.0521908433734937</x:v>
      </x:c>
      <x:c r="AG306" s="21" t="n">
        <x:v>0</x:v>
      </x:c>
      <x:c r="AH306" s="21" t="n">
        <x:v>0</x:v>
      </x:c>
      <x:c r="AI306" s="21" t="n">
        <x:v>0</x:v>
      </x:c>
      <x:c r="AJ306" s="21" t="n">
        <x:v>0</x:v>
      </x:c>
      <x:c r="AK306" s="21" t="n">
        <x:v>0</x:v>
      </x:c>
      <x:c r="AL306" s="21" t="n">
        <x:v>0</x:v>
      </x:c>
      <x:c r="AM306" s="21" t="n">
        <x:v>1</x:v>
      </x:c>
      <x:c r="AN306" s="21" t="n">
        <x:v>1</x:v>
      </x:c>
      <x:c r="AO306" s="21" t="n">
        <x:v>1</x:v>
      </x:c>
      <x:c r="AP306" s="21" t="n">
        <x:v>0.98</x:v>
      </x:c>
      <x:c r="AQ306" s="21" t="n">
        <x:v>1.02</x:v>
      </x:c>
      <x:c r="AR306" s="21" t="n">
        <x:v>1</x:v>
      </x:c>
      <x:c r="AS306" s="21" t="n">
        <x:v>1</x:v>
      </x:c>
      <x:c r="AT306" s="21" t="n">
        <x:v>1</x:v>
      </x:c>
      <x:c r="AU306" s="21" t="n">
        <x:v>0</x:v>
      </x:c>
      <x:c r="AV306" s="22" t="n">
        <x:f>IF(C306="QB",N306*0.04+O306*4-P306*2+R306*0.1+S306*6,IF(OR(C306="RB",C306="WR",C306="TE"),U306*0.1+V306*6+R306*0.1+S306*6+X306*0.5+Y306*0.1+Z306*6,IF(C306="K",AC306*3+AD306*4+AE306*5+AF306,IF(C306="DST",AG306+AH306*2+AI306*6+AL306,0))))</x:f>
        <x:v>7.097159999999999</x:v>
      </x:c>
      <x:c r="AW306" s="22" t="n">
        <x:f>(AV306+AU306)*G306</x:f>
        <x:v>7.097159999999999</x:v>
      </x:c>
      <x:c r="AX306" s="22" t="n">
        <x:f>MAX(0,AW306*IF(C306="QB",0.68,IF(C306="RB",0.58,IF(C306="WR",0.52,IF(C306="TE",0.50,IF(C306="K",0.55,0.40))))))</x:f>
        <x:v>3.9034379999999995</x:v>
      </x:c>
      <x:c r="AY306" s="22" t="n">
        <x:f>AW306*IF(C306="QB",1.32,IF(C306="RB",1.45,IF(C306="WR",1.55,IF(C306="TE",1.60,IF(C306="K",1.45,1.65)))))</x:f>
        <x:v>10.290881999999998</x:v>
      </x:c>
      <x:c r="AZ306" s="12" t="str">
        <x:v>High</x:v>
      </x:c>
      <x:c r="BA306" s="12" t="n">
        <x:v>4</x:v>
      </x:c>
      <x:c r="BB306" s="12" t="n">
        <x:f>COUNTIFS($C$2:$C$344,C306,$AW$2:$AW$344,"&gt;"&amp;AW306,$G$2:$G$344,"&gt;0")+COUNTIFS($C$2:C306,C306,$AW$2:AW306,AW306,$G$2:G306,"&gt;0")</x:f>
        <x:v>26</x:v>
      </x:c>
      <x:c r="BC306" s="12" t="n">
        <x:v>26</x:v>
      </x:c>
      <x:c r="BD306" s="12" t="str">
        <x:f>IF(BB306&lt;BC306,"↑",IF(BB306&gt;BC306,"↓","→"))</x:f>
        <x:v>→</x:v>
      </x:c>
      <x:c r="BE306" s="23" t="str">
        <x:v>Fantasy Football Brief ROS baseline; official NFL schedule</x:v>
      </x:c>
      <x:c r="BF306" s="23" t="str">
        <x:v>Current role and availability baseline; all adjustment factors shown numerically</x:v>
      </x:c>
      <x:c r="BG306" s="23" t="str">
        <x:v>Material injury, depth-chart, or role change</x:v>
      </x:c>
      <x:c r="BH306" s="24" t="str">
        <x:v>2026-09-23 10:35 CT</x:v>
      </x:c>
    </x:row>
    <x:row r="307">
      <x:c r="A307" s="12" t="str">
        <x:v>Andre Szmyt</x:v>
      </x:c>
      <x:c r="B307" s="12" t="str">
        <x:v>CLE</x:v>
      </x:c>
      <x:c r="C307" s="12" t="str">
        <x:v>K</x:v>
      </x:c>
      <x:c r="D307" s="12" t="str">
        <x:v>CAR</x:v>
      </x:c>
      <x:c r="E307" s="12" t="str">
        <x:v>Home</x:v>
      </x:c>
      <x:c r="F307" s="12" t="str">
        <x:v>2026-09-27</x:v>
      </x:c>
      <x:c r="G307" s="19" t="n">
        <x:v>1</x:v>
      </x:c>
      <x:c r="H307" s="20" t="str">
        <x:v>ACTIVE</x:v>
      </x:c>
      <x:c r="I307" s="20" t="n">
        <x:v>10</x:v>
      </x:c>
      <x:c r="J307" s="20" t="str">
        <x:v>Scoring drives</x:v>
      </x:c>
      <x:c r="K307" s="20" t="n">
        <x:v>3.373493975903614</x:v>
      </x:c>
      <x:c r="L307" s="21" t="n">
        <x:v>0</x:v>
      </x:c>
      <x:c r="M307" s="21" t="n">
        <x:v>0</x:v>
      </x:c>
      <x:c r="N307" s="21" t="n">
        <x:v>0</x:v>
      </x:c>
      <x:c r="O307" s="21" t="n">
        <x:v>0</x:v>
      </x:c>
      <x:c r="P307" s="21" t="n">
        <x:v>0</x:v>
      </x:c>
      <x:c r="Q307" s="21" t="n">
        <x:v>0</x:v>
      </x:c>
      <x:c r="R307" s="21" t="n">
        <x:v>0</x:v>
      </x:c>
      <x:c r="S307" s="21" t="n">
        <x:v>0</x:v>
      </x:c>
      <x:c r="T307" s="21" t="n">
        <x:v>0</x:v>
      </x:c>
      <x:c r="U307" s="21" t="n">
        <x:v>0</x:v>
      </x:c>
      <x:c r="V307" s="21" t="n">
        <x:v>0</x:v>
      </x:c>
      <x:c r="W307" s="21" t="n">
        <x:v>0</x:v>
      </x:c>
      <x:c r="X307" s="21" t="n">
        <x:v>0</x:v>
      </x:c>
      <x:c r="Y307" s="21" t="n">
        <x:v>0</x:v>
      </x:c>
      <x:c r="Z307" s="21" t="n">
        <x:v>0</x:v>
      </x:c>
      <x:c r="AA307" s="21" t="n">
        <x:v>0</x:v>
      </x:c>
      <x:c r="AB307" s="21" t="n">
        <x:v>0</x:v>
      </x:c>
      <x:c r="AC307" s="21" t="n">
        <x:v>0.6806361445783131</x:v>
      </x:c>
      <x:c r="AD307" s="21" t="n">
        <x:v>0.4253975903614457</x:v>
      </x:c>
      <x:c r="AE307" s="21" t="n">
        <x:v>0.2552385542168674</x:v>
      </x:c>
      <x:c r="AF307" s="21" t="n">
        <x:v>2.0419084337349394</x:v>
      </x:c>
      <x:c r="AG307" s="21" t="n">
        <x:v>0</x:v>
      </x:c>
      <x:c r="AH307" s="21" t="n">
        <x:v>0</x:v>
      </x:c>
      <x:c r="AI307" s="21" t="n">
        <x:v>0</x:v>
      </x:c>
      <x:c r="AJ307" s="21" t="n">
        <x:v>0</x:v>
      </x:c>
      <x:c r="AK307" s="21" t="n">
        <x:v>0</x:v>
      </x:c>
      <x:c r="AL307" s="21" t="n">
        <x:v>0</x:v>
      </x:c>
      <x:c r="AM307" s="21" t="n">
        <x:v>1</x:v>
      </x:c>
      <x:c r="AN307" s="21" t="n">
        <x:v>1</x:v>
      </x:c>
      <x:c r="AO307" s="21" t="n">
        <x:v>1</x:v>
      </x:c>
      <x:c r="AP307" s="21" t="n">
        <x:v>0.97</x:v>
      </x:c>
      <x:c r="AQ307" s="21" t="n">
        <x:v>1.04</x:v>
      </x:c>
      <x:c r="AR307" s="21" t="n">
        <x:v>1</x:v>
      </x:c>
      <x:c r="AS307" s="21" t="n">
        <x:v>1</x:v>
      </x:c>
      <x:c r="AT307" s="21" t="n">
        <x:v>1</x:v>
      </x:c>
      <x:c r="AU307" s="21" t="n">
        <x:v>0</x:v>
      </x:c>
      <x:c r="AV307" s="22" t="n">
        <x:f>IF(C307="QB",N307*0.04+O307*4-P307*2+R307*0.1+S307*6,IF(OR(C307="RB",C307="WR",C307="TE"),U307*0.1+V307*6+R307*0.1+S307*6+X307*0.5+Y307*0.1+Z307*6,IF(C307="K",AC307*3+AD307*4+AE307*5+AF307,IF(C307="DST",AG307+AH307*2+AI307*6+AL307,0))))</x:f>
        <x:v>7.0615999999999985</x:v>
      </x:c>
      <x:c r="AW307" s="22" t="n">
        <x:f>(AV307+AU307)*G307</x:f>
        <x:v>7.0615999999999985</x:v>
      </x:c>
      <x:c r="AX307" s="22" t="n">
        <x:f>MAX(0,AW307*IF(C307="QB",0.68,IF(C307="RB",0.58,IF(C307="WR",0.52,IF(C307="TE",0.50,IF(C307="K",0.55,0.40))))))</x:f>
        <x:v>3.8838799999999996</x:v>
      </x:c>
      <x:c r="AY307" s="22" t="n">
        <x:f>AW307*IF(C307="QB",1.32,IF(C307="RB",1.45,IF(C307="WR",1.55,IF(C307="TE",1.60,IF(C307="K",1.45,1.65)))))</x:f>
        <x:v>10.239319999999998</x:v>
      </x:c>
      <x:c r="AZ307" s="12" t="str">
        <x:v>High</x:v>
      </x:c>
      <x:c r="BA307" s="12" t="n">
        <x:v>4</x:v>
      </x:c>
      <x:c r="BB307" s="12" t="n">
        <x:f>COUNTIFS($C$2:$C$344,C307,$AW$2:$AW$344,"&gt;"&amp;AW307,$G$2:$G$344,"&gt;0")+COUNTIFS($C$2:C307,C307,$AW$2:AW307,AW307,$G$2:G307,"&gt;0")</x:f>
        <x:v>27</x:v>
      </x:c>
      <x:c r="BC307" s="12" t="n">
        <x:v>27</x:v>
      </x:c>
      <x:c r="BD307" s="12" t="str">
        <x:f>IF(BB307&lt;BC307,"↑",IF(BB307&gt;BC307,"↓","→"))</x:f>
        <x:v>→</x:v>
      </x:c>
      <x:c r="BE307" s="23" t="str">
        <x:v>Fantasy Football Brief ROS baseline; official NFL schedule</x:v>
      </x:c>
      <x:c r="BF307" s="23" t="str">
        <x:v>Current role and availability baseline; all adjustment factors shown numerically</x:v>
      </x:c>
      <x:c r="BG307" s="23" t="str">
        <x:v>Material injury, depth-chart, or role change</x:v>
      </x:c>
      <x:c r="BH307" s="24" t="str">
        <x:v>2026-09-23 10:35 CT</x:v>
      </x:c>
    </x:row>
    <x:row r="308">
      <x:c r="A308" s="12" t="str">
        <x:v>Ryan Fitzgerald</x:v>
      </x:c>
      <x:c r="B308" s="12" t="str">
        <x:v>CAR</x:v>
      </x:c>
      <x:c r="C308" s="12" t="str">
        <x:v>K</x:v>
      </x:c>
      <x:c r="D308" s="12" t="str">
        <x:v>CLE</x:v>
      </x:c>
      <x:c r="E308" s="12" t="str">
        <x:v>Away</x:v>
      </x:c>
      <x:c r="F308" s="12" t="str">
        <x:v>2026-09-27</x:v>
      </x:c>
      <x:c r="G308" s="19" t="n">
        <x:v>1</x:v>
      </x:c>
      <x:c r="H308" s="20" t="str">
        <x:v>ACTIVE</x:v>
      </x:c>
      <x:c r="I308" s="20" t="n">
        <x:v>10</x:v>
      </x:c>
      <x:c r="J308" s="20" t="str">
        <x:v>Scoring drives</x:v>
      </x:c>
      <x:c r="K308" s="20" t="n">
        <x:v>3.614457831325301</x:v>
      </x:c>
      <x:c r="L308" s="21" t="n">
        <x:v>0</x:v>
      </x:c>
      <x:c r="M308" s="21" t="n">
        <x:v>0</x:v>
      </x:c>
      <x:c r="N308" s="21" t="n">
        <x:v>0</x:v>
      </x:c>
      <x:c r="O308" s="21" t="n">
        <x:v>0</x:v>
      </x:c>
      <x:c r="P308" s="21" t="n">
        <x:v>0</x:v>
      </x:c>
      <x:c r="Q308" s="21" t="n">
        <x:v>0</x:v>
      </x:c>
      <x:c r="R308" s="21" t="n">
        <x:v>0</x:v>
      </x:c>
      <x:c r="S308" s="21" t="n">
        <x:v>0</x:v>
      </x:c>
      <x:c r="T308" s="21" t="n">
        <x:v>0</x:v>
      </x:c>
      <x:c r="U308" s="21" t="n">
        <x:v>0</x:v>
      </x:c>
      <x:c r="V308" s="21" t="n">
        <x:v>0</x:v>
      </x:c>
      <x:c r="W308" s="21" t="n">
        <x:v>0</x:v>
      </x:c>
      <x:c r="X308" s="21" t="n">
        <x:v>0</x:v>
      </x:c>
      <x:c r="Y308" s="21" t="n">
        <x:v>0</x:v>
      </x:c>
      <x:c r="Z308" s="21" t="n">
        <x:v>0</x:v>
      </x:c>
      <x:c r="AA308" s="21" t="n">
        <x:v>0</x:v>
      </x:c>
      <x:c r="AB308" s="21" t="n">
        <x:v>0</x:v>
      </x:c>
      <x:c r="AC308" s="21" t="n">
        <x:v>0.673012048192771</x:v>
      </x:c>
      <x:c r="AD308" s="21" t="n">
        <x:v>0.42063253012048185</x:v>
      </x:c>
      <x:c r="AE308" s="21" t="n">
        <x:v>0.25237951807228914</x:v>
      </x:c>
      <x:c r="AF308" s="21" t="n">
        <x:v>2.019036144578313</x:v>
      </x:c>
      <x:c r="AG308" s="21" t="n">
        <x:v>0</x:v>
      </x:c>
      <x:c r="AH308" s="21" t="n">
        <x:v>0</x:v>
      </x:c>
      <x:c r="AI308" s="21" t="n">
        <x:v>0</x:v>
      </x:c>
      <x:c r="AJ308" s="21" t="n">
        <x:v>0</x:v>
      </x:c>
      <x:c r="AK308" s="21" t="n">
        <x:v>0</x:v>
      </x:c>
      <x:c r="AL308" s="21" t="n">
        <x:v>0</x:v>
      </x:c>
      <x:c r="AM308" s="21" t="n">
        <x:v>1</x:v>
      </x:c>
      <x:c r="AN308" s="21" t="n">
        <x:v>1</x:v>
      </x:c>
      <x:c r="AO308" s="21" t="n">
        <x:v>1</x:v>
      </x:c>
      <x:c r="AP308" s="21" t="n">
        <x:v>0.98</x:v>
      </x:c>
      <x:c r="AQ308" s="21" t="n">
        <x:v>0.95</x:v>
      </x:c>
      <x:c r="AR308" s="21" t="n">
        <x:v>1</x:v>
      </x:c>
      <x:c r="AS308" s="21" t="n">
        <x:v>1</x:v>
      </x:c>
      <x:c r="AT308" s="21" t="n">
        <x:v>1</x:v>
      </x:c>
      <x:c r="AU308" s="21" t="n">
        <x:v>0</x:v>
      </x:c>
      <x:c r="AV308" s="22" t="n">
        <x:f>IF(C308="QB",N308*0.04+O308*4-P308*2+R308*0.1+S308*6,IF(OR(C308="RB",C308="WR",C308="TE"),U308*0.1+V308*6+R308*0.1+S308*6+X308*0.5+Y308*0.1+Z308*6,IF(C308="K",AC308*3+AD308*4+AE308*5+AF308,IF(C308="DST",AG308+AH308*2+AI308*6+AL308,0))))</x:f>
        <x:v>6.9825</x:v>
      </x:c>
      <x:c r="AW308" s="22" t="n">
        <x:f>(AV308+AU308)*G308</x:f>
        <x:v>6.9825</x:v>
      </x:c>
      <x:c r="AX308" s="22" t="n">
        <x:f>MAX(0,AW308*IF(C308="QB",0.68,IF(C308="RB",0.58,IF(C308="WR",0.52,IF(C308="TE",0.50,IF(C308="K",0.55,0.40))))))</x:f>
        <x:v>3.8403750000000003</x:v>
      </x:c>
      <x:c r="AY308" s="22" t="n">
        <x:f>AW308*IF(C308="QB",1.32,IF(C308="RB",1.45,IF(C308="WR",1.55,IF(C308="TE",1.60,IF(C308="K",1.45,1.65)))))</x:f>
        <x:v>10.124625</x:v>
      </x:c>
      <x:c r="AZ308" s="12" t="str">
        <x:v>High</x:v>
      </x:c>
      <x:c r="BA308" s="12" t="n">
        <x:v>4</x:v>
      </x:c>
      <x:c r="BB308" s="12" t="n">
        <x:f>COUNTIFS($C$2:$C$344,C308,$AW$2:$AW$344,"&gt;"&amp;AW308,$G$2:$G$344,"&gt;0")+COUNTIFS($C$2:C308,C308,$AW$2:AW308,AW308,$G$2:G308,"&gt;0")</x:f>
        <x:v>28</x:v>
      </x:c>
      <x:c r="BC308" s="12" t="n">
        <x:v>28</x:v>
      </x:c>
      <x:c r="BD308" s="12" t="str">
        <x:f>IF(BB308&lt;BC308,"↑",IF(BB308&gt;BC308,"↓","→"))</x:f>
        <x:v>→</x:v>
      </x:c>
      <x:c r="BE308" s="23" t="str">
        <x:v>Fantasy Football Brief ROS baseline; official NFL schedule</x:v>
      </x:c>
      <x:c r="BF308" s="23" t="str">
        <x:v>Current role and availability baseline; all adjustment factors shown numerically</x:v>
      </x:c>
      <x:c r="BG308" s="23" t="str">
        <x:v>Material injury, depth-chart, or role change</x:v>
      </x:c>
      <x:c r="BH308" s="24" t="str">
        <x:v>2026-09-23 10:35 CT</x:v>
      </x:c>
    </x:row>
    <x:row r="309">
      <x:c r="A309" s="12" t="str">
        <x:v>Chad Ryland</x:v>
      </x:c>
      <x:c r="B309" s="12" t="str">
        <x:v>ARI</x:v>
      </x:c>
      <x:c r="C309" s="12" t="str">
        <x:v>K</x:v>
      </x:c>
      <x:c r="D309" s="12" t="str">
        <x:v>SF</x:v>
      </x:c>
      <x:c r="E309" s="12" t="str">
        <x:v>Away</x:v>
      </x:c>
      <x:c r="F309" s="12" t="str">
        <x:v>2026-09-27</x:v>
      </x:c>
      <x:c r="G309" s="19" t="n">
        <x:v>1</x:v>
      </x:c>
      <x:c r="H309" s="20" t="str">
        <x:v>ACTIVE</x:v>
      </x:c>
      <x:c r="I309" s="20" t="n">
        <x:v>10</x:v>
      </x:c>
      <x:c r="J309" s="20" t="str">
        <x:v>Scoring drives</x:v>
      </x:c>
      <x:c r="K309" s="20" t="n">
        <x:v>3.566265060240964</x:v>
      </x:c>
      <x:c r="L309" s="21" t="n">
        <x:v>0</x:v>
      </x:c>
      <x:c r="M309" s="21" t="n">
        <x:v>0</x:v>
      </x:c>
      <x:c r="N309" s="21" t="n">
        <x:v>0</x:v>
      </x:c>
      <x:c r="O309" s="21" t="n">
        <x:v>0</x:v>
      </x:c>
      <x:c r="P309" s="21" t="n">
        <x:v>0</x:v>
      </x:c>
      <x:c r="Q309" s="21" t="n">
        <x:v>0</x:v>
      </x:c>
      <x:c r="R309" s="21" t="n">
        <x:v>0</x:v>
      </x:c>
      <x:c r="S309" s="21" t="n">
        <x:v>0</x:v>
      </x:c>
      <x:c r="T309" s="21" t="n">
        <x:v>0</x:v>
      </x:c>
      <x:c r="U309" s="21" t="n">
        <x:v>0</x:v>
      </x:c>
      <x:c r="V309" s="21" t="n">
        <x:v>0</x:v>
      </x:c>
      <x:c r="W309" s="21" t="n">
        <x:v>0</x:v>
      </x:c>
      <x:c r="X309" s="21" t="n">
        <x:v>0</x:v>
      </x:c>
      <x:c r="Y309" s="21" t="n">
        <x:v>0</x:v>
      </x:c>
      <x:c r="Z309" s="21" t="n">
        <x:v>0</x:v>
      </x:c>
      <x:c r="AA309" s="21" t="n">
        <x:v>0</x:v>
      </x:c>
      <x:c r="AB309" s="21" t="n">
        <x:v>0</x:v>
      </x:c>
      <x:c r="AC309" s="21" t="n">
        <x:v>0.6704578313253012</x:v>
      </x:c>
      <x:c r="AD309" s="21" t="n">
        <x:v>0.41903614457831323</x:v>
      </x:c>
      <x:c r="AE309" s="21" t="n">
        <x:v>0.25142168674698795</x:v>
      </x:c>
      <x:c r="AF309" s="21" t="n">
        <x:v>2.0113734939759036</x:v>
      </x:c>
      <x:c r="AG309" s="21" t="n">
        <x:v>0</x:v>
      </x:c>
      <x:c r="AH309" s="21" t="n">
        <x:v>0</x:v>
      </x:c>
      <x:c r="AI309" s="21" t="n">
        <x:v>0</x:v>
      </x:c>
      <x:c r="AJ309" s="21" t="n">
        <x:v>0</x:v>
      </x:c>
      <x:c r="AK309" s="21" t="n">
        <x:v>0</x:v>
      </x:c>
      <x:c r="AL309" s="21" t="n">
        <x:v>0</x:v>
      </x:c>
      <x:c r="AM309" s="21" t="n">
        <x:v>1</x:v>
      </x:c>
      <x:c r="AN309" s="21" t="n">
        <x:v>1</x:v>
      </x:c>
      <x:c r="AO309" s="21" t="n">
        <x:v>1</x:v>
      </x:c>
      <x:c r="AP309" s="21" t="n">
        <x:v>1</x:v>
      </x:c>
      <x:c r="AQ309" s="21" t="n">
        <x:v>0.94</x:v>
      </x:c>
      <x:c r="AR309" s="21" t="n">
        <x:v>1</x:v>
      </x:c>
      <x:c r="AS309" s="21" t="n">
        <x:v>1</x:v>
      </x:c>
      <x:c r="AT309" s="21" t="n">
        <x:v>1</x:v>
      </x:c>
      <x:c r="AU309" s="21" t="n">
        <x:v>0</x:v>
      </x:c>
      <x:c r="AV309" s="22" t="n">
        <x:f>IF(C309="QB",N309*0.04+O309*4-P309*2+R309*0.1+S309*6,IF(OR(C309="RB",C309="WR",C309="TE"),U309*0.1+V309*6+R309*0.1+S309*6+X309*0.5+Y309*0.1+Z309*6,IF(C309="K",AC309*3+AD309*4+AE309*5+AF309,IF(C309="DST",AG309+AH309*2+AI309*6+AL309,0))))</x:f>
        <x:v>6.956</x:v>
      </x:c>
      <x:c r="AW309" s="22" t="n">
        <x:f>(AV309+AU309)*G309</x:f>
        <x:v>6.956</x:v>
      </x:c>
      <x:c r="AX309" s="22" t="n">
        <x:f>MAX(0,AW309*IF(C309="QB",0.68,IF(C309="RB",0.58,IF(C309="WR",0.52,IF(C309="TE",0.50,IF(C309="K",0.55,0.40))))))</x:f>
        <x:v>3.8258000000000005</x:v>
      </x:c>
      <x:c r="AY309" s="22" t="n">
        <x:f>AW309*IF(C309="QB",1.32,IF(C309="RB",1.45,IF(C309="WR",1.55,IF(C309="TE",1.60,IF(C309="K",1.45,1.65)))))</x:f>
        <x:v>10.0862</x:v>
      </x:c>
      <x:c r="AZ309" s="12" t="str">
        <x:v>High</x:v>
      </x:c>
      <x:c r="BA309" s="12" t="n">
        <x:v>4</x:v>
      </x:c>
      <x:c r="BB309" s="12" t="n">
        <x:f>COUNTIFS($C$2:$C$344,C309,$AW$2:$AW$344,"&gt;"&amp;AW309,$G$2:$G$344,"&gt;0")+COUNTIFS($C$2:C309,C309,$AW$2:AW309,AW309,$G$2:G309,"&gt;0")</x:f>
        <x:v>29</x:v>
      </x:c>
      <x:c r="BC309" s="12" t="n">
        <x:v>29</x:v>
      </x:c>
      <x:c r="BD309" s="12" t="str">
        <x:f>IF(BB309&lt;BC309,"↑",IF(BB309&gt;BC309,"↓","→"))</x:f>
        <x:v>→</x:v>
      </x:c>
      <x:c r="BE309" s="23" t="str">
        <x:v>Fantasy Football Brief ROS baseline; official NFL schedule</x:v>
      </x:c>
      <x:c r="BF309" s="23" t="str">
        <x:v>Current role and availability baseline; all adjustment factors shown numerically</x:v>
      </x:c>
      <x:c r="BG309" s="23" t="str">
        <x:v>Material injury, depth-chart, or role change</x:v>
      </x:c>
      <x:c r="BH309" s="24" t="str">
        <x:v>2026-09-23 10:35 CT</x:v>
      </x:c>
    </x:row>
    <x:row r="310">
      <x:c r="A310" s="12" t="str">
        <x:v>Drew Stevens</x:v>
      </x:c>
      <x:c r="B310" s="12" t="str">
        <x:v>WAS</x:v>
      </x:c>
      <x:c r="C310" s="12" t="str">
        <x:v>K</x:v>
      </x:c>
      <x:c r="D310" s="12" t="str">
        <x:v>SEA</x:v>
      </x:c>
      <x:c r="E310" s="12" t="str">
        <x:v>Home</x:v>
      </x:c>
      <x:c r="F310" s="12" t="str">
        <x:v>2026-09-27</x:v>
      </x:c>
      <x:c r="G310" s="19" t="n">
        <x:v>1</x:v>
      </x:c>
      <x:c r="H310" s="20" t="str">
        <x:v>ACTIVE</x:v>
      </x:c>
      <x:c r="I310" s="20" t="n">
        <x:v>10</x:v>
      </x:c>
      <x:c r="J310" s="20" t="str">
        <x:v>Scoring drives</x:v>
      </x:c>
      <x:c r="K310" s="20" t="n">
        <x:v>3.5180722891566263</x:v>
      </x:c>
      <x:c r="L310" s="21" t="n">
        <x:v>0</x:v>
      </x:c>
      <x:c r="M310" s="21" t="n">
        <x:v>0</x:v>
      </x:c>
      <x:c r="N310" s="21" t="n">
        <x:v>0</x:v>
      </x:c>
      <x:c r="O310" s="21" t="n">
        <x:v>0</x:v>
      </x:c>
      <x:c r="P310" s="21" t="n">
        <x:v>0</x:v>
      </x:c>
      <x:c r="Q310" s="21" t="n">
        <x:v>0</x:v>
      </x:c>
      <x:c r="R310" s="21" t="n">
        <x:v>0</x:v>
      </x:c>
      <x:c r="S310" s="21" t="n">
        <x:v>0</x:v>
      </x:c>
      <x:c r="T310" s="21" t="n">
        <x:v>0</x:v>
      </x:c>
      <x:c r="U310" s="21" t="n">
        <x:v>0</x:v>
      </x:c>
      <x:c r="V310" s="21" t="n">
        <x:v>0</x:v>
      </x:c>
      <x:c r="W310" s="21" t="n">
        <x:v>0</x:v>
      </x:c>
      <x:c r="X310" s="21" t="n">
        <x:v>0</x:v>
      </x:c>
      <x:c r="Y310" s="21" t="n">
        <x:v>0</x:v>
      </x:c>
      <x:c r="Z310" s="21" t="n">
        <x:v>0</x:v>
      </x:c>
      <x:c r="AA310" s="21" t="n">
        <x:v>0</x:v>
      </x:c>
      <x:c r="AB310" s="21" t="n">
        <x:v>0</x:v>
      </x:c>
      <x:c r="AC310" s="21" t="n">
        <x:v>0.6688559036144578</x:v>
      </x:c>
      <x:c r="AD310" s="21" t="n">
        <x:v>0.4180349397590361</x:v>
      </x:c>
      <x:c r="AE310" s="21" t="n">
        <x:v>0.2508209638554217</x:v>
      </x:c>
      <x:c r="AF310" s="21" t="n">
        <x:v>2.0065677108433735</x:v>
      </x:c>
      <x:c r="AG310" s="21" t="n">
        <x:v>0</x:v>
      </x:c>
      <x:c r="AH310" s="21" t="n">
        <x:v>0</x:v>
      </x:c>
      <x:c r="AI310" s="21" t="n">
        <x:v>0</x:v>
      </x:c>
      <x:c r="AJ310" s="21" t="n">
        <x:v>0</x:v>
      </x:c>
      <x:c r="AK310" s="21" t="n">
        <x:v>0</x:v>
      </x:c>
      <x:c r="AL310" s="21" t="n">
        <x:v>0</x:v>
      </x:c>
      <x:c r="AM310" s="21" t="n">
        <x:v>1</x:v>
      </x:c>
      <x:c r="AN310" s="21" t="n">
        <x:v>1</x:v>
      </x:c>
      <x:c r="AO310" s="21" t="n">
        <x:v>1</x:v>
      </x:c>
      <x:c r="AP310" s="21" t="n">
        <x:v>0.97</x:v>
      </x:c>
      <x:c r="AQ310" s="21" t="n">
        <x:v>0.98</x:v>
      </x:c>
      <x:c r="AR310" s="21" t="n">
        <x:v>1</x:v>
      </x:c>
      <x:c r="AS310" s="21" t="n">
        <x:v>1</x:v>
      </x:c>
      <x:c r="AT310" s="21" t="n">
        <x:v>1</x:v>
      </x:c>
      <x:c r="AU310" s="21" t="n">
        <x:v>0</x:v>
      </x:c>
      <x:c r="AV310" s="22" t="n">
        <x:f>IF(C310="QB",N310*0.04+O310*4-P310*2+R310*0.1+S310*6,IF(OR(C310="RB",C310="WR",C310="TE"),U310*0.1+V310*6+R310*0.1+S310*6+X310*0.5+Y310*0.1+Z310*6,IF(C310="K",AC310*3+AD310*4+AE310*5+AF310,IF(C310="DST",AG310+AH310*2+AI310*6+AL310,0))))</x:f>
        <x:v>6.93938</x:v>
      </x:c>
      <x:c r="AW310" s="22" t="n">
        <x:f>(AV310+AU310)*G310</x:f>
        <x:v>6.93938</x:v>
      </x:c>
      <x:c r="AX310" s="22" t="n">
        <x:f>MAX(0,AW310*IF(C310="QB",0.68,IF(C310="RB",0.58,IF(C310="WR",0.52,IF(C310="TE",0.50,IF(C310="K",0.55,0.40))))))</x:f>
        <x:v>3.816659</x:v>
      </x:c>
      <x:c r="AY310" s="22" t="n">
        <x:f>AW310*IF(C310="QB",1.32,IF(C310="RB",1.45,IF(C310="WR",1.55,IF(C310="TE",1.60,IF(C310="K",1.45,1.65)))))</x:f>
        <x:v>10.062101</x:v>
      </x:c>
      <x:c r="AZ310" s="12" t="str">
        <x:v>High</x:v>
      </x:c>
      <x:c r="BA310" s="12" t="n">
        <x:v>4</x:v>
      </x:c>
      <x:c r="BB310" s="12" t="n">
        <x:f>COUNTIFS($C$2:$C$344,C310,$AW$2:$AW$344,"&gt;"&amp;AW310,$G$2:$G$344,"&gt;0")+COUNTIFS($C$2:C310,C310,$AW$2:AW310,AW310,$G$2:G310,"&gt;0")</x:f>
        <x:v>30</x:v>
      </x:c>
      <x:c r="BC310" s="12" t="n">
        <x:v>30</x:v>
      </x:c>
      <x:c r="BD310" s="12" t="str">
        <x:f>IF(BB310&lt;BC310,"↑",IF(BB310&gt;BC310,"↓","→"))</x:f>
        <x:v>→</x:v>
      </x:c>
      <x:c r="BE310" s="23" t="str">
        <x:v>Fantasy Football Brief ROS baseline; official NFL schedule</x:v>
      </x:c>
      <x:c r="BF310" s="23" t="str">
        <x:v>Current role and availability baseline; all adjustment factors shown numerically</x:v>
      </x:c>
      <x:c r="BG310" s="23" t="str">
        <x:v>Material injury, depth-chart, or role change</x:v>
      </x:c>
      <x:c r="BH310" s="24" t="str">
        <x:v>2026-09-23 10:35 CT</x:v>
      </x:c>
    </x:row>
    <x:row r="311">
      <x:c r="A311" s="12" t="str">
        <x:v>Dominic Zvada</x:v>
      </x:c>
      <x:c r="B311" s="12" t="str">
        <x:v>NYG</x:v>
      </x:c>
      <x:c r="C311" s="12" t="str">
        <x:v>K</x:v>
      </x:c>
      <x:c r="D311" s="12" t="str">
        <x:v>TEN</x:v>
      </x:c>
      <x:c r="E311" s="12" t="str">
        <x:v>Home</x:v>
      </x:c>
      <x:c r="F311" s="12" t="str">
        <x:v>2026-09-27</x:v>
      </x:c>
      <x:c r="G311" s="19" t="n">
        <x:v>1</x:v>
      </x:c>
      <x:c r="H311" s="20" t="str">
        <x:v>ACTIVE</x:v>
      </x:c>
      <x:c r="I311" s="20" t="n">
        <x:v>10</x:v>
      </x:c>
      <x:c r="J311" s="20" t="str">
        <x:v>Scoring drives</x:v>
      </x:c>
      <x:c r="K311" s="20" t="n">
        <x:v>3.373493975903614</x:v>
      </x:c>
      <x:c r="L311" s="21" t="n">
        <x:v>0</x:v>
      </x:c>
      <x:c r="M311" s="21" t="n">
        <x:v>0</x:v>
      </x:c>
      <x:c r="N311" s="21" t="n">
        <x:v>0</x:v>
      </x:c>
      <x:c r="O311" s="21" t="n">
        <x:v>0</x:v>
      </x:c>
      <x:c r="P311" s="21" t="n">
        <x:v>0</x:v>
      </x:c>
      <x:c r="Q311" s="21" t="n">
        <x:v>0</x:v>
      </x:c>
      <x:c r="R311" s="21" t="n">
        <x:v>0</x:v>
      </x:c>
      <x:c r="S311" s="21" t="n">
        <x:v>0</x:v>
      </x:c>
      <x:c r="T311" s="21" t="n">
        <x:v>0</x:v>
      </x:c>
      <x:c r="U311" s="21" t="n">
        <x:v>0</x:v>
      </x:c>
      <x:c r="V311" s="21" t="n">
        <x:v>0</x:v>
      </x:c>
      <x:c r="W311" s="21" t="n">
        <x:v>0</x:v>
      </x:c>
      <x:c r="X311" s="21" t="n">
        <x:v>0</x:v>
      </x:c>
      <x:c r="Y311" s="21" t="n">
        <x:v>0</x:v>
      </x:c>
      <x:c r="Z311" s="21" t="n">
        <x:v>0</x:v>
      </x:c>
      <x:c r="AA311" s="21" t="n">
        <x:v>0</x:v>
      </x:c>
      <x:c r="AB311" s="21" t="n">
        <x:v>0</x:v>
      </x:c>
      <x:c r="AC311" s="21" t="n">
        <x:v>0.6606650602409638</x:v>
      </x:c>
      <x:c r="AD311" s="21" t="n">
        <x:v>0.41291566265060237</x:v>
      </x:c>
      <x:c r="AE311" s="21" t="n">
        <x:v>0.2477493975903614</x:v>
      </x:c>
      <x:c r="AF311" s="21" t="n">
        <x:v>1.9819951807228913</x:v>
      </x:c>
      <x:c r="AG311" s="21" t="n">
        <x:v>0</x:v>
      </x:c>
      <x:c r="AH311" s="21" t="n">
        <x:v>0</x:v>
      </x:c>
      <x:c r="AI311" s="21" t="n">
        <x:v>0</x:v>
      </x:c>
      <x:c r="AJ311" s="21" t="n">
        <x:v>0</x:v>
      </x:c>
      <x:c r="AK311" s="21" t="n">
        <x:v>0</x:v>
      </x:c>
      <x:c r="AL311" s="21" t="n">
        <x:v>0</x:v>
      </x:c>
      <x:c r="AM311" s="21" t="n">
        <x:v>1</x:v>
      </x:c>
      <x:c r="AN311" s="21" t="n">
        <x:v>1</x:v>
      </x:c>
      <x:c r="AO311" s="21" t="n">
        <x:v>1</x:v>
      </x:c>
      <x:c r="AP311" s="21" t="n">
        <x:v>0.96</x:v>
      </x:c>
      <x:c r="AQ311" s="21" t="n">
        <x:v>1.02</x:v>
      </x:c>
      <x:c r="AR311" s="21" t="n">
        <x:v>1</x:v>
      </x:c>
      <x:c r="AS311" s="21" t="n">
        <x:v>1</x:v>
      </x:c>
      <x:c r="AT311" s="21" t="n">
        <x:v>1</x:v>
      </x:c>
      <x:c r="AU311" s="21" t="n">
        <x:v>0</x:v>
      </x:c>
      <x:c r="AV311" s="22" t="n">
        <x:f>IF(C311="QB",N311*0.04+O311*4-P311*2+R311*0.1+S311*6,IF(OR(C311="RB",C311="WR",C311="TE"),U311*0.1+V311*6+R311*0.1+S311*6+X311*0.5+Y311*0.1+Z311*6,IF(C311="K",AC311*3+AD311*4+AE311*5+AF311,IF(C311="DST",AG311+AH311*2+AI311*6+AL311,0))))</x:f>
        <x:v>6.854399999999999</x:v>
      </x:c>
      <x:c r="AW311" s="22" t="n">
        <x:f>(AV311+AU311)*G311</x:f>
        <x:v>6.854399999999999</x:v>
      </x:c>
      <x:c r="AX311" s="22" t="n">
        <x:f>MAX(0,AW311*IF(C311="QB",0.68,IF(C311="RB",0.58,IF(C311="WR",0.52,IF(C311="TE",0.50,IF(C311="K",0.55,0.40))))))</x:f>
        <x:v>3.76992</x:v>
      </x:c>
      <x:c r="AY311" s="22" t="n">
        <x:f>AW311*IF(C311="QB",1.32,IF(C311="RB",1.45,IF(C311="WR",1.55,IF(C311="TE",1.60,IF(C311="K",1.45,1.65)))))</x:f>
        <x:v>9.93888</x:v>
      </x:c>
      <x:c r="AZ311" s="12" t="str">
        <x:v>High</x:v>
      </x:c>
      <x:c r="BA311" s="12" t="n">
        <x:v>5</x:v>
      </x:c>
      <x:c r="BB311" s="12" t="n">
        <x:f>COUNTIFS($C$2:$C$344,C311,$AW$2:$AW$344,"&gt;"&amp;AW311,$G$2:$G$344,"&gt;0")+COUNTIFS($C$2:C311,C311,$AW$2:AW311,AW311,$G$2:G311,"&gt;0")</x:f>
        <x:v>31</x:v>
      </x:c>
      <x:c r="BC311" s="12" t="n">
        <x:v>31</x:v>
      </x:c>
      <x:c r="BD311" s="12" t="str">
        <x:f>IF(BB311&lt;BC311,"↑",IF(BB311&gt;BC311,"↓","→"))</x:f>
        <x:v>→</x:v>
      </x:c>
      <x:c r="BE311" s="23" t="str">
        <x:v>Fantasy Football Brief ROS baseline; official NFL schedule</x:v>
      </x:c>
      <x:c r="BF311" s="23" t="str">
        <x:v>Current role and availability baseline; all adjustment factors shown numerically</x:v>
      </x:c>
      <x:c r="BG311" s="23" t="str">
        <x:v>Material injury, depth-chart, or role change</x:v>
      </x:c>
      <x:c r="BH311" s="24" t="str">
        <x:v>2026-09-23 10:35 CT</x:v>
      </x:c>
    </x:row>
    <x:row r="312">
      <x:c r="A312" s="12" t="str">
        <x:v>Riley Patterson</x:v>
      </x:c>
      <x:c r="B312" s="12" t="str">
        <x:v>MIA</x:v>
      </x:c>
      <x:c r="C312" s="12" t="str">
        <x:v>K</x:v>
      </x:c>
      <x:c r="D312" s="12" t="str">
        <x:v>KC</x:v>
      </x:c>
      <x:c r="E312" s="12" t="str">
        <x:v>Home</x:v>
      </x:c>
      <x:c r="F312" s="12" t="str">
        <x:v>2026-09-27</x:v>
      </x:c>
      <x:c r="G312" s="19" t="n">
        <x:v>1</x:v>
      </x:c>
      <x:c r="H312" s="20" t="str">
        <x:v>ACTIVE</x:v>
      </x:c>
      <x:c r="I312" s="20" t="n">
        <x:v>10</x:v>
      </x:c>
      <x:c r="J312" s="20" t="str">
        <x:v>Scoring drives</x:v>
      </x:c>
      <x:c r="K312" s="20" t="n">
        <x:v>3.469879518072289</x:v>
      </x:c>
      <x:c r="L312" s="21" t="n">
        <x:v>0</x:v>
      </x:c>
      <x:c r="M312" s="21" t="n">
        <x:v>0</x:v>
      </x:c>
      <x:c r="N312" s="21" t="n">
        <x:v>0</x:v>
      </x:c>
      <x:c r="O312" s="21" t="n">
        <x:v>0</x:v>
      </x:c>
      <x:c r="P312" s="21" t="n">
        <x:v>0</x:v>
      </x:c>
      <x:c r="Q312" s="21" t="n">
        <x:v>0</x:v>
      </x:c>
      <x:c r="R312" s="21" t="n">
        <x:v>0</x:v>
      </x:c>
      <x:c r="S312" s="21" t="n">
        <x:v>0</x:v>
      </x:c>
      <x:c r="T312" s="21" t="n">
        <x:v>0</x:v>
      </x:c>
      <x:c r="U312" s="21" t="n">
        <x:v>0</x:v>
      </x:c>
      <x:c r="V312" s="21" t="n">
        <x:v>0</x:v>
      </x:c>
      <x:c r="W312" s="21" t="n">
        <x:v>0</x:v>
      </x:c>
      <x:c r="X312" s="21" t="n">
        <x:v>0</x:v>
      </x:c>
      <x:c r="Y312" s="21" t="n">
        <x:v>0</x:v>
      </x:c>
      <x:c r="Z312" s="21" t="n">
        <x:v>0</x:v>
      </x:c>
      <x:c r="AA312" s="21" t="n">
        <x:v>0</x:v>
      </x:c>
      <x:c r="AB312" s="21" t="n">
        <x:v>0</x:v>
      </x:c>
      <x:c r="AC312" s="21" t="n">
        <x:v>0.6394987951807228</x:v>
      </x:c>
      <x:c r="AD312" s="21" t="n">
        <x:v>0.39968674698795176</x:v>
      </x:c>
      <x:c r="AE312" s="21" t="n">
        <x:v>0.23981204819277108</x:v>
      </x:c>
      <x:c r="AF312" s="21" t="n">
        <x:v>1.9184963855421686</x:v>
      </x:c>
      <x:c r="AG312" s="21" t="n">
        <x:v>0</x:v>
      </x:c>
      <x:c r="AH312" s="21" t="n">
        <x:v>0</x:v>
      </x:c>
      <x:c r="AI312" s="21" t="n">
        <x:v>0</x:v>
      </x:c>
      <x:c r="AJ312" s="21" t="n">
        <x:v>0</x:v>
      </x:c>
      <x:c r="AK312" s="21" t="n">
        <x:v>0</x:v>
      </x:c>
      <x:c r="AL312" s="21" t="n">
        <x:v>0</x:v>
      </x:c>
      <x:c r="AM312" s="21" t="n">
        <x:v>1</x:v>
      </x:c>
      <x:c r="AN312" s="21" t="n">
        <x:v>1</x:v>
      </x:c>
      <x:c r="AO312" s="21" t="n">
        <x:v>1</x:v>
      </x:c>
      <x:c r="AP312" s="21" t="n">
        <x:v>0.97</x:v>
      </x:c>
      <x:c r="AQ312" s="21" t="n">
        <x:v>0.95</x:v>
      </x:c>
      <x:c r="AR312" s="21" t="n">
        <x:v>1</x:v>
      </x:c>
      <x:c r="AS312" s="21" t="n">
        <x:v>1</x:v>
      </x:c>
      <x:c r="AT312" s="21" t="n">
        <x:v>1</x:v>
      </x:c>
      <x:c r="AU312" s="21" t="n">
        <x:v>0</x:v>
      </x:c>
      <x:c r="AV312" s="22" t="n">
        <x:f>IF(C312="QB",N312*0.04+O312*4-P312*2+R312*0.1+S312*6,IF(OR(C312="RB",C312="WR",C312="TE"),U312*0.1+V312*6+R312*0.1+S312*6+X312*0.5+Y312*0.1+Z312*6,IF(C312="K",AC312*3+AD312*4+AE312*5+AF312,IF(C312="DST",AG312+AH312*2+AI312*6+AL312,0))))</x:f>
        <x:v>6.6348</x:v>
      </x:c>
      <x:c r="AW312" s="22" t="n">
        <x:f>(AV312+AU312)*G312</x:f>
        <x:v>6.6348</x:v>
      </x:c>
      <x:c r="AX312" s="22" t="n">
        <x:f>MAX(0,AW312*IF(C312="QB",0.68,IF(C312="RB",0.58,IF(C312="WR",0.52,IF(C312="TE",0.50,IF(C312="K",0.55,0.40))))))</x:f>
        <x:v>3.6491400000000005</x:v>
      </x:c>
      <x:c r="AY312" s="22" t="n">
        <x:f>AW312*IF(C312="QB",1.32,IF(C312="RB",1.45,IF(C312="WR",1.55,IF(C312="TE",1.60,IF(C312="K",1.45,1.65)))))</x:f>
        <x:v>9.62046</x:v>
      </x:c>
      <x:c r="AZ312" s="12" t="str">
        <x:v>High</x:v>
      </x:c>
      <x:c r="BA312" s="12" t="n">
        <x:v>5</x:v>
      </x:c>
      <x:c r="BB312" s="12" t="n">
        <x:f>COUNTIFS($C$2:$C$344,C312,$AW$2:$AW$344,"&gt;"&amp;AW312,$G$2:$G$344,"&gt;0")+COUNTIFS($C$2:C312,C312,$AW$2:AW312,AW312,$G$2:G312,"&gt;0")</x:f>
        <x:v>32</x:v>
      </x:c>
      <x:c r="BC312" s="12" t="n">
        <x:v>32</x:v>
      </x:c>
      <x:c r="BD312" s="12" t="str">
        <x:f>IF(BB312&lt;BC312,"↑",IF(BB312&gt;BC312,"↓","→"))</x:f>
        <x:v>→</x:v>
      </x:c>
      <x:c r="BE312" s="23" t="str">
        <x:v>Fantasy Football Brief ROS baseline; official NFL schedule</x:v>
      </x:c>
      <x:c r="BF312" s="23" t="str">
        <x:v>Current role and availability baseline; all adjustment factors shown numerically</x:v>
      </x:c>
      <x:c r="BG312" s="23" t="str">
        <x:v>Material injury, depth-chart, or role change</x:v>
      </x:c>
      <x:c r="BH312" s="24" t="str">
        <x:v>2026-09-23 10:35 CT</x:v>
      </x:c>
    </x:row>
    <x:row r="313">
      <x:c r="A313" s="12" t="str">
        <x:v>Baltimore Ravens</x:v>
      </x:c>
      <x:c r="B313" s="12" t="str">
        <x:v>BAL</x:v>
      </x:c>
      <x:c r="C313" s="12" t="str">
        <x:v>DST</x:v>
      </x:c>
      <x:c r="D313" s="12" t="str">
        <x:v>DAL</x:v>
      </x:c>
      <x:c r="E313" s="12" t="str">
        <x:v>Away</x:v>
      </x:c>
      <x:c r="F313" s="12" t="str">
        <x:v>2026-09-27</x:v>
      </x:c>
      <x:c r="G313" s="19" t="n">
        <x:v>1</x:v>
      </x:c>
      <x:c r="H313" s="20" t="str">
        <x:v>ACTIVE</x:v>
      </x:c>
      <x:c r="I313" s="20" t="n">
        <x:v>62</x:v>
      </x:c>
      <x:c r="J313" s="20" t="str">
        <x:v>Defensive snaps</x:v>
      </x:c>
      <x:c r="K313" s="20" t="n">
        <x:v>62</x:v>
      </x:c>
      <x:c r="L313" s="21" t="n">
        <x:v>0</x:v>
      </x:c>
      <x:c r="M313" s="21" t="n">
        <x:v>0</x:v>
      </x:c>
      <x:c r="N313" s="21" t="n">
        <x:v>0</x:v>
      </x:c>
      <x:c r="O313" s="21" t="n">
        <x:v>0</x:v>
      </x:c>
      <x:c r="P313" s="21" t="n">
        <x:v>0</x:v>
      </x:c>
      <x:c r="Q313" s="21" t="n">
        <x:v>0</x:v>
      </x:c>
      <x:c r="R313" s="21" t="n">
        <x:v>0</x:v>
      </x:c>
      <x:c r="S313" s="21" t="n">
        <x:v>0</x:v>
      </x:c>
      <x:c r="T313" s="21" t="n">
        <x:v>0</x:v>
      </x:c>
      <x:c r="U313" s="21" t="n">
        <x:v>0</x:v>
      </x:c>
      <x:c r="V313" s="21" t="n">
        <x:v>0</x:v>
      </x:c>
      <x:c r="W313" s="21" t="n">
        <x:v>0</x:v>
      </x:c>
      <x:c r="X313" s="21" t="n">
        <x:v>0</x:v>
      </x:c>
      <x:c r="Y313" s="21" t="n">
        <x:v>0</x:v>
      </x:c>
      <x:c r="Z313" s="21" t="n">
        <x:v>0</x:v>
      </x:c>
      <x:c r="AA313" s="21" t="n">
        <x:v>0</x:v>
      </x:c>
      <x:c r="AB313" s="21" t="n">
        <x:v>0</x:v>
      </x:c>
      <x:c r="AC313" s="21" t="n">
        <x:v>0</x:v>
      </x:c>
      <x:c r="AD313" s="21" t="n">
        <x:v>0</x:v>
      </x:c>
      <x:c r="AE313" s="21" t="n">
        <x:v>0</x:v>
      </x:c>
      <x:c r="AF313" s="21" t="n">
        <x:v>0</x:v>
      </x:c>
      <x:c r="AG313" s="21" t="n">
        <x:v>3.0487309644670053</x:v>
      </x:c>
      <x:c r="AH313" s="21" t="n">
        <x:v>1.4633908629441625</x:v>
      </x:c>
      <x:c r="AI313" s="21" t="n">
        <x:v>0.09755939086294418</x:v>
      </x:c>
      <x:c r="AJ313" s="21" t="n">
        <x:v>21</x:v>
      </x:c>
      <x:c r="AK313" s="21" t="n">
        <x:v>340</x:v>
      </x:c>
      <x:c r="AL313" s="21" t="n">
        <x:v>3.0487309644670053</x:v>
      </x:c>
      <x:c r="AM313" s="21" t="n">
        <x:v>1</x:v>
      </x:c>
      <x:c r="AN313" s="21" t="n">
        <x:v>1</x:v>
      </x:c>
      <x:c r="AO313" s="21" t="n">
        <x:v>1</x:v>
      </x:c>
      <x:c r="AP313" s="21" t="n">
        <x:v>1.04</x:v>
      </x:c>
      <x:c r="AQ313" s="21" t="n">
        <x:v>1.05</x:v>
      </x:c>
      <x:c r="AR313" s="21" t="n">
        <x:v>1</x:v>
      </x:c>
      <x:c r="AS313" s="21" t="n">
        <x:v>1</x:v>
      </x:c>
      <x:c r="AT313" s="21" t="n">
        <x:v>1</x:v>
      </x:c>
      <x:c r="AU313" s="21" t="n">
        <x:v>0</x:v>
      </x:c>
      <x:c r="AV313" s="22" t="n">
        <x:f>IF(C313="QB",N313*0.04+O313*4-P313*2+R313*0.1+S313*6,IF(OR(C313="RB",C313="WR",C313="TE"),U313*0.1+V313*6+R313*0.1+S313*6+X313*0.5+Y313*0.1+Z313*6,IF(C313="K",AC313*3+AD313*4+AE313*5+AF313,IF(C313="DST",AG313+AH313*2+AI313*6+AL313,0))))</x:f>
        <x:v>9.6096</x:v>
      </x:c>
      <x:c r="AW313" s="22" t="n">
        <x:f>(AV313+AU313)*G313</x:f>
        <x:v>9.6096</x:v>
      </x:c>
      <x:c r="AX313" s="22" t="n">
        <x:f>MAX(0,AW313*IF(C313="QB",0.68,IF(C313="RB",0.58,IF(C313="WR",0.52,IF(C313="TE",0.50,IF(C313="K",0.55,0.40))))))</x:f>
        <x:v>3.84384</x:v>
      </x:c>
      <x:c r="AY313" s="22" t="n">
        <x:f>AW313*IF(C313="QB",1.32,IF(C313="RB",1.45,IF(C313="WR",1.55,IF(C313="TE",1.60,IF(C313="K",1.45,1.65)))))</x:f>
        <x:v>15.85584</x:v>
      </x:c>
      <x:c r="AZ313" s="12" t="str">
        <x:v>High</x:v>
      </x:c>
      <x:c r="BA313" s="12" t="n">
        <x:v>1</x:v>
      </x:c>
      <x:c r="BB313" s="12" t="n">
        <x:f>COUNTIFS($C$2:$C$344,C313,$AW$2:$AW$344,"&gt;"&amp;AW313,$G$2:$G$344,"&gt;0")+COUNTIFS($C$2:C313,C313,$AW$2:AW313,AW313,$G$2:G313,"&gt;0")</x:f>
        <x:v>1</x:v>
      </x:c>
      <x:c r="BC313" s="12" t="n">
        <x:v>1</x:v>
      </x:c>
      <x:c r="BD313" s="12" t="str">
        <x:f>IF(BB313&lt;BC313,"↑",IF(BB313&gt;BC313,"↓","→"))</x:f>
        <x:v>→</x:v>
      </x:c>
      <x:c r="BE313" s="23" t="str">
        <x:v>Fantasy Football Brief ROS baseline; official NFL schedule</x:v>
      </x:c>
      <x:c r="BF313" s="23" t="str">
        <x:v>Current role and availability baseline; all adjustment factors shown numerically</x:v>
      </x:c>
      <x:c r="BG313" s="23" t="str">
        <x:v>Material injury, depth-chart, or role change</x:v>
      </x:c>
      <x:c r="BH313" s="24" t="str">
        <x:v>2026-09-23 10:35 CT</x:v>
      </x:c>
    </x:row>
    <x:row r="314">
      <x:c r="A314" s="12" t="str">
        <x:v>Seattle Seahawks</x:v>
      </x:c>
      <x:c r="B314" s="12" t="str">
        <x:v>SEA</x:v>
      </x:c>
      <x:c r="C314" s="12" t="str">
        <x:v>DST</x:v>
      </x:c>
      <x:c r="D314" s="12" t="str">
        <x:v>WAS</x:v>
      </x:c>
      <x:c r="E314" s="12" t="str">
        <x:v>Away</x:v>
      </x:c>
      <x:c r="F314" s="12" t="str">
        <x:v>2026-09-27</x:v>
      </x:c>
      <x:c r="G314" s="19" t="n">
        <x:v>1</x:v>
      </x:c>
      <x:c r="H314" s="20" t="str">
        <x:v>ACTIVE</x:v>
      </x:c>
      <x:c r="I314" s="20" t="n">
        <x:v>62</x:v>
      </x:c>
      <x:c r="J314" s="20" t="str">
        <x:v>Defensive snaps</x:v>
      </x:c>
      <x:c r="K314" s="20" t="n">
        <x:v>62</x:v>
      </x:c>
      <x:c r="L314" s="21" t="n">
        <x:v>0</x:v>
      </x:c>
      <x:c r="M314" s="21" t="n">
        <x:v>0</x:v>
      </x:c>
      <x:c r="N314" s="21" t="n">
        <x:v>0</x:v>
      </x:c>
      <x:c r="O314" s="21" t="n">
        <x:v>0</x:v>
      </x:c>
      <x:c r="P314" s="21" t="n">
        <x:v>0</x:v>
      </x:c>
      <x:c r="Q314" s="21" t="n">
        <x:v>0</x:v>
      </x:c>
      <x:c r="R314" s="21" t="n">
        <x:v>0</x:v>
      </x:c>
      <x:c r="S314" s="21" t="n">
        <x:v>0</x:v>
      </x:c>
      <x:c r="T314" s="21" t="n">
        <x:v>0</x:v>
      </x:c>
      <x:c r="U314" s="21" t="n">
        <x:v>0</x:v>
      </x:c>
      <x:c r="V314" s="21" t="n">
        <x:v>0</x:v>
      </x:c>
      <x:c r="W314" s="21" t="n">
        <x:v>0</x:v>
      </x:c>
      <x:c r="X314" s="21" t="n">
        <x:v>0</x:v>
      </x:c>
      <x:c r="Y314" s="21" t="n">
        <x:v>0</x:v>
      </x:c>
      <x:c r="Z314" s="21" t="n">
        <x:v>0</x:v>
      </x:c>
      <x:c r="AA314" s="21" t="n">
        <x:v>0</x:v>
      </x:c>
      <x:c r="AB314" s="21" t="n">
        <x:v>0</x:v>
      </x:c>
      <x:c r="AC314" s="21" t="n">
        <x:v>0</x:v>
      </x:c>
      <x:c r="AD314" s="21" t="n">
        <x:v>0</x:v>
      </x:c>
      <x:c r="AE314" s="21" t="n">
        <x:v>0</x:v>
      </x:c>
      <x:c r="AF314" s="21" t="n">
        <x:v>0</x:v>
      </x:c>
      <x:c r="AG314" s="21" t="n">
        <x:v>2.940989847715736</x:v>
      </x:c>
      <x:c r="AH314" s="21" t="n">
        <x:v>1.4116751269035532</x:v>
      </x:c>
      <x:c r="AI314" s="21" t="n">
        <x:v>0.09411167512690355</x:v>
      </x:c>
      <x:c r="AJ314" s="21" t="n">
        <x:v>21</x:v>
      </x:c>
      <x:c r="AK314" s="21" t="n">
        <x:v>340</x:v>
      </x:c>
      <x:c r="AL314" s="21" t="n">
        <x:v>2.940989847715736</x:v>
      </x:c>
      <x:c r="AM314" s="21" t="n">
        <x:v>1</x:v>
      </x:c>
      <x:c r="AN314" s="21" t="n">
        <x:v>1</x:v>
      </x:c>
      <x:c r="AO314" s="21" t="n">
        <x:v>1</x:v>
      </x:c>
      <x:c r="AP314" s="21" t="n">
        <x:v>1</x:v>
      </x:c>
      <x:c r="AQ314" s="21" t="n">
        <x:v>1.03</x:v>
      </x:c>
      <x:c r="AR314" s="21" t="n">
        <x:v>1</x:v>
      </x:c>
      <x:c r="AS314" s="21" t="n">
        <x:v>1</x:v>
      </x:c>
      <x:c r="AT314" s="21" t="n">
        <x:v>1</x:v>
      </x:c>
      <x:c r="AU314" s="21" t="n">
        <x:v>0</x:v>
      </x:c>
      <x:c r="AV314" s="22" t="n">
        <x:f>IF(C314="QB",N314*0.04+O314*4-P314*2+R314*0.1+S314*6,IF(OR(C314="RB",C314="WR",C314="TE"),U314*0.1+V314*6+R314*0.1+S314*6+X314*0.5+Y314*0.1+Z314*6,IF(C314="K",AC314*3+AD314*4+AE314*5+AF314,IF(C314="DST",AG314+AH314*2+AI314*6+AL314,0))))</x:f>
        <x:v>9.27</x:v>
      </x:c>
      <x:c r="AW314" s="22" t="n">
        <x:f>(AV314+AU314)*G314</x:f>
        <x:v>9.27</x:v>
      </x:c>
      <x:c r="AX314" s="22" t="n">
        <x:f>MAX(0,AW314*IF(C314="QB",0.68,IF(C314="RB",0.58,IF(C314="WR",0.52,IF(C314="TE",0.50,IF(C314="K",0.55,0.40))))))</x:f>
        <x:v>3.708</x:v>
      </x:c>
      <x:c r="AY314" s="22" t="n">
        <x:f>AW314*IF(C314="QB",1.32,IF(C314="RB",1.45,IF(C314="WR",1.55,IF(C314="TE",1.60,IF(C314="K",1.45,1.65)))))</x:f>
        <x:v>15.295499999999999</x:v>
      </x:c>
      <x:c r="AZ314" s="12" t="str">
        <x:v>High</x:v>
      </x:c>
      <x:c r="BA314" s="12" t="n">
        <x:v>1</x:v>
      </x:c>
      <x:c r="BB314" s="12" t="n">
        <x:f>COUNTIFS($C$2:$C$344,C314,$AW$2:$AW$344,"&gt;"&amp;AW314,$G$2:$G$344,"&gt;0")+COUNTIFS($C$2:C314,C314,$AW$2:AW314,AW314,$G$2:G314,"&gt;0")</x:f>
        <x:v>2</x:v>
      </x:c>
      <x:c r="BC314" s="12" t="n">
        <x:v>2</x:v>
      </x:c>
      <x:c r="BD314" s="12" t="str">
        <x:f>IF(BB314&lt;BC314,"↑",IF(BB314&gt;BC314,"↓","→"))</x:f>
        <x:v>→</x:v>
      </x:c>
      <x:c r="BE314" s="23" t="str">
        <x:v>Fantasy Football Brief ROS baseline; official NFL schedule</x:v>
      </x:c>
      <x:c r="BF314" s="23" t="str">
        <x:v>Current role and availability baseline; all adjustment factors shown numerically</x:v>
      </x:c>
      <x:c r="BG314" s="23" t="str">
        <x:v>Material injury, depth-chart, or role change</x:v>
      </x:c>
      <x:c r="BH314" s="24" t="str">
        <x:v>2026-09-23 10:35 CT</x:v>
      </x:c>
    </x:row>
    <x:row r="315">
      <x:c r="A315" s="12" t="str">
        <x:v>Houston Texans</x:v>
      </x:c>
      <x:c r="B315" s="12" t="str">
        <x:v>HOU</x:v>
      </x:c>
      <x:c r="C315" s="12" t="str">
        <x:v>DST</x:v>
      </x:c>
      <x:c r="D315" s="12" t="str">
        <x:v>IND</x:v>
      </x:c>
      <x:c r="E315" s="12" t="str">
        <x:v>Away</x:v>
      </x:c>
      <x:c r="F315" s="12" t="str">
        <x:v>2026-09-27</x:v>
      </x:c>
      <x:c r="G315" s="19" t="n">
        <x:v>1</x:v>
      </x:c>
      <x:c r="H315" s="20" t="str">
        <x:v>ACTIVE</x:v>
      </x:c>
      <x:c r="I315" s="20" t="n">
        <x:v>62</x:v>
      </x:c>
      <x:c r="J315" s="20" t="str">
        <x:v>Defensive snaps</x:v>
      </x:c>
      <x:c r="K315" s="20" t="n">
        <x:v>62</x:v>
      </x:c>
      <x:c r="L315" s="21" t="n">
        <x:v>0</x:v>
      </x:c>
      <x:c r="M315" s="21" t="n">
        <x:v>0</x:v>
      </x:c>
      <x:c r="N315" s="21" t="n">
        <x:v>0</x:v>
      </x:c>
      <x:c r="O315" s="21" t="n">
        <x:v>0</x:v>
      </x:c>
      <x:c r="P315" s="21" t="n">
        <x:v>0</x:v>
      </x:c>
      <x:c r="Q315" s="21" t="n">
        <x:v>0</x:v>
      </x:c>
      <x:c r="R315" s="21" t="n">
        <x:v>0</x:v>
      </x:c>
      <x:c r="S315" s="21" t="n">
        <x:v>0</x:v>
      </x:c>
      <x:c r="T315" s="21" t="n">
        <x:v>0</x:v>
      </x:c>
      <x:c r="U315" s="21" t="n">
        <x:v>0</x:v>
      </x:c>
      <x:c r="V315" s="21" t="n">
        <x:v>0</x:v>
      </x:c>
      <x:c r="W315" s="21" t="n">
        <x:v>0</x:v>
      </x:c>
      <x:c r="X315" s="21" t="n">
        <x:v>0</x:v>
      </x:c>
      <x:c r="Y315" s="21" t="n">
        <x:v>0</x:v>
      </x:c>
      <x:c r="Z315" s="21" t="n">
        <x:v>0</x:v>
      </x:c>
      <x:c r="AA315" s="21" t="n">
        <x:v>0</x:v>
      </x:c>
      <x:c r="AB315" s="21" t="n">
        <x:v>0</x:v>
      </x:c>
      <x:c r="AC315" s="21" t="n">
        <x:v>0</x:v>
      </x:c>
      <x:c r="AD315" s="21" t="n">
        <x:v>0</x:v>
      </x:c>
      <x:c r="AE315" s="21" t="n">
        <x:v>0</x:v>
      </x:c>
      <x:c r="AF315" s="21" t="n">
        <x:v>0</x:v>
      </x:c>
      <x:c r="AG315" s="21" t="n">
        <x:v>2.8792290609137057</x:v>
      </x:c>
      <x:c r="AH315" s="21" t="n">
        <x:v>1.382029949238579</x:v>
      </x:c>
      <x:c r="AI315" s="21" t="n">
        <x:v>0.09213532994923859</x:v>
      </x:c>
      <x:c r="AJ315" s="21" t="n">
        <x:v>21</x:v>
      </x:c>
      <x:c r="AK315" s="21" t="n">
        <x:v>340</x:v>
      </x:c>
      <x:c r="AL315" s="21" t="n">
        <x:v>2.8792290609137057</x:v>
      </x:c>
      <x:c r="AM315" s="21" t="n">
        <x:v>1</x:v>
      </x:c>
      <x:c r="AN315" s="21" t="n">
        <x:v>1</x:v>
      </x:c>
      <x:c r="AO315" s="21" t="n">
        <x:v>1</x:v>
      </x:c>
      <x:c r="AP315" s="21" t="n">
        <x:v>0.99</x:v>
      </x:c>
      <x:c r="AQ315" s="21" t="n">
        <x:v>1.03</x:v>
      </x:c>
      <x:c r="AR315" s="21" t="n">
        <x:v>1</x:v>
      </x:c>
      <x:c r="AS315" s="21" t="n">
        <x:v>1</x:v>
      </x:c>
      <x:c r="AT315" s="21" t="n">
        <x:v>1</x:v>
      </x:c>
      <x:c r="AU315" s="21" t="n">
        <x:v>0</x:v>
      </x:c>
      <x:c r="AV315" s="22" t="n">
        <x:f>IF(C315="QB",N315*0.04+O315*4-P315*2+R315*0.1+S315*6,IF(OR(C315="RB",C315="WR",C315="TE"),U315*0.1+V315*6+R315*0.1+S315*6+X315*0.5+Y315*0.1+Z315*6,IF(C315="K",AC315*3+AD315*4+AE315*5+AF315,IF(C315="DST",AG315+AH315*2+AI315*6+AL315,0))))</x:f>
        <x:v>9.075330000000001</x:v>
      </x:c>
      <x:c r="AW315" s="22" t="n">
        <x:f>(AV315+AU315)*G315</x:f>
        <x:v>9.075330000000001</x:v>
      </x:c>
      <x:c r="AX315" s="22" t="n">
        <x:f>MAX(0,AW315*IF(C315="QB",0.68,IF(C315="RB",0.58,IF(C315="WR",0.52,IF(C315="TE",0.50,IF(C315="K",0.55,0.40))))))</x:f>
        <x:v>3.6301320000000006</x:v>
      </x:c>
      <x:c r="AY315" s="22" t="n">
        <x:f>AW315*IF(C315="QB",1.32,IF(C315="RB",1.45,IF(C315="WR",1.55,IF(C315="TE",1.60,IF(C315="K",1.45,1.65)))))</x:f>
        <x:v>14.974294500000001</x:v>
      </x:c>
      <x:c r="AZ315" s="12" t="str">
        <x:v>High</x:v>
      </x:c>
      <x:c r="BA315" s="12" t="n">
        <x:v>1</x:v>
      </x:c>
      <x:c r="BB315" s="12" t="n">
        <x:f>COUNTIFS($C$2:$C$344,C315,$AW$2:$AW$344,"&gt;"&amp;AW315,$G$2:$G$344,"&gt;0")+COUNTIFS($C$2:C315,C315,$AW$2:AW315,AW315,$G$2:G315,"&gt;0")</x:f>
        <x:v>3</x:v>
      </x:c>
      <x:c r="BC315" s="12" t="n">
        <x:v>3</x:v>
      </x:c>
      <x:c r="BD315" s="12" t="str">
        <x:f>IF(BB315&lt;BC315,"↑",IF(BB315&gt;BC315,"↓","→"))</x:f>
        <x:v>→</x:v>
      </x:c>
      <x:c r="BE315" s="23" t="str">
        <x:v>Fantasy Football Brief ROS baseline; official NFL schedule</x:v>
      </x:c>
      <x:c r="BF315" s="23" t="str">
        <x:v>Current role and availability baseline; all adjustment factors shown numerically</x:v>
      </x:c>
      <x:c r="BG315" s="23" t="str">
        <x:v>Material injury, depth-chart, or role change</x:v>
      </x:c>
      <x:c r="BH315" s="24" t="str">
        <x:v>2026-09-23 10:35 CT</x:v>
      </x:c>
    </x:row>
    <x:row r="316">
      <x:c r="A316" s="12" t="str">
        <x:v>Kansas City Chiefs</x:v>
      </x:c>
      <x:c r="B316" s="12" t="str">
        <x:v>KC</x:v>
      </x:c>
      <x:c r="C316" s="12" t="str">
        <x:v>DST</x:v>
      </x:c>
      <x:c r="D316" s="12" t="str">
        <x:v>MIA</x:v>
      </x:c>
      <x:c r="E316" s="12" t="str">
        <x:v>Away</x:v>
      </x:c>
      <x:c r="F316" s="12" t="str">
        <x:v>2026-09-27</x:v>
      </x:c>
      <x:c r="G316" s="19" t="n">
        <x:v>1</x:v>
      </x:c>
      <x:c r="H316" s="20" t="str">
        <x:v>ACTIVE</x:v>
      </x:c>
      <x:c r="I316" s="20" t="n">
        <x:v>62</x:v>
      </x:c>
      <x:c r="J316" s="20" t="str">
        <x:v>Defensive snaps</x:v>
      </x:c>
      <x:c r="K316" s="20" t="n">
        <x:v>62</x:v>
      </x:c>
      <x:c r="L316" s="21" t="n">
        <x:v>0</x:v>
      </x:c>
      <x:c r="M316" s="21" t="n">
        <x:v>0</x:v>
      </x:c>
      <x:c r="N316" s="21" t="n">
        <x:v>0</x:v>
      </x:c>
      <x:c r="O316" s="21" t="n">
        <x:v>0</x:v>
      </x:c>
      <x:c r="P316" s="21" t="n">
        <x:v>0</x:v>
      </x:c>
      <x:c r="Q316" s="21" t="n">
        <x:v>0</x:v>
      </x:c>
      <x:c r="R316" s="21" t="n">
        <x:v>0</x:v>
      </x:c>
      <x:c r="S316" s="21" t="n">
        <x:v>0</x:v>
      </x:c>
      <x:c r="T316" s="21" t="n">
        <x:v>0</x:v>
      </x:c>
      <x:c r="U316" s="21" t="n">
        <x:v>0</x:v>
      </x:c>
      <x:c r="V316" s="21" t="n">
        <x:v>0</x:v>
      </x:c>
      <x:c r="W316" s="21" t="n">
        <x:v>0</x:v>
      </x:c>
      <x:c r="X316" s="21" t="n">
        <x:v>0</x:v>
      </x:c>
      <x:c r="Y316" s="21" t="n">
        <x:v>0</x:v>
      </x:c>
      <x:c r="Z316" s="21" t="n">
        <x:v>0</x:v>
      </x:c>
      <x:c r="AA316" s="21" t="n">
        <x:v>0</x:v>
      </x:c>
      <x:c r="AB316" s="21" t="n">
        <x:v>0</x:v>
      </x:c>
      <x:c r="AC316" s="21" t="n">
        <x:v>0</x:v>
      </x:c>
      <x:c r="AD316" s="21" t="n">
        <x:v>0</x:v>
      </x:c>
      <x:c r="AE316" s="21" t="n">
        <x:v>0</x:v>
      </x:c>
      <x:c r="AF316" s="21" t="n">
        <x:v>0</x:v>
      </x:c>
      <x:c r="AG316" s="21" t="n">
        <x:v>2.8609295685279186</x:v>
      </x:c>
      <x:c r="AH316" s="21" t="n">
        <x:v>1.373246192893401</x:v>
      </x:c>
      <x:c r="AI316" s="21" t="n">
        <x:v>0.0915497461928934</x:v>
      </x:c>
      <x:c r="AJ316" s="21" t="n">
        <x:v>21</x:v>
      </x:c>
      <x:c r="AK316" s="21" t="n">
        <x:v>340</x:v>
      </x:c>
      <x:c r="AL316" s="21" t="n">
        <x:v>2.8609295685279186</x:v>
      </x:c>
      <x:c r="AM316" s="21" t="n">
        <x:v>1</x:v>
      </x:c>
      <x:c r="AN316" s="21" t="n">
        <x:v>1</x:v>
      </x:c>
      <x:c r="AO316" s="21" t="n">
        <x:v>1</x:v>
      </x:c>
      <x:c r="AP316" s="21" t="n">
        <x:v>1.03</x:v>
      </x:c>
      <x:c r="AQ316" s="21" t="n">
        <x:v>1.03</x:v>
      </x:c>
      <x:c r="AR316" s="21" t="n">
        <x:v>1</x:v>
      </x:c>
      <x:c r="AS316" s="21" t="n">
        <x:v>1</x:v>
      </x:c>
      <x:c r="AT316" s="21" t="n">
        <x:v>1</x:v>
      </x:c>
      <x:c r="AU316" s="21" t="n">
        <x:v>0</x:v>
      </x:c>
      <x:c r="AV316" s="22" t="n">
        <x:f>IF(C316="QB",N316*0.04+O316*4-P316*2+R316*0.1+S316*6,IF(OR(C316="RB",C316="WR",C316="TE"),U316*0.1+V316*6+R316*0.1+S316*6+X316*0.5+Y316*0.1+Z316*6,IF(C316="K",AC316*3+AD316*4+AE316*5+AF316,IF(C316="DST",AG316+AH316*2+AI316*6+AL316,0))))</x:f>
        <x:v>9.01765</x:v>
      </x:c>
      <x:c r="AW316" s="22" t="n">
        <x:f>(AV316+AU316)*G316</x:f>
        <x:v>9.01765</x:v>
      </x:c>
      <x:c r="AX316" s="22" t="n">
        <x:f>MAX(0,AW316*IF(C316="QB",0.68,IF(C316="RB",0.58,IF(C316="WR",0.52,IF(C316="TE",0.50,IF(C316="K",0.55,0.40))))))</x:f>
        <x:v>3.60706</x:v>
      </x:c>
      <x:c r="AY316" s="22" t="n">
        <x:f>AW316*IF(C316="QB",1.32,IF(C316="RB",1.45,IF(C316="WR",1.55,IF(C316="TE",1.60,IF(C316="K",1.45,1.65)))))</x:f>
        <x:v>14.8791225</x:v>
      </x:c>
      <x:c r="AZ316" s="12" t="str">
        <x:v>High</x:v>
      </x:c>
      <x:c r="BA316" s="12" t="n">
        <x:v>1</x:v>
      </x:c>
      <x:c r="BB316" s="12" t="n">
        <x:f>COUNTIFS($C$2:$C$344,C316,$AW$2:$AW$344,"&gt;"&amp;AW316,$G$2:$G$344,"&gt;0")+COUNTIFS($C$2:C316,C316,$AW$2:AW316,AW316,$G$2:G316,"&gt;0")</x:f>
        <x:v>4</x:v>
      </x:c>
      <x:c r="BC316" s="12" t="n">
        <x:v>4</x:v>
      </x:c>
      <x:c r="BD316" s="12" t="str">
        <x:f>IF(BB316&lt;BC316,"↑",IF(BB316&gt;BC316,"↓","→"))</x:f>
        <x:v>→</x:v>
      </x:c>
      <x:c r="BE316" s="23" t="str">
        <x:v>Fantasy Football Brief ROS baseline; official NFL schedule</x:v>
      </x:c>
      <x:c r="BF316" s="23" t="str">
        <x:v>Current role and availability baseline; all adjustment factors shown numerically</x:v>
      </x:c>
      <x:c r="BG316" s="23" t="str">
        <x:v>Material injury, depth-chart, or role change</x:v>
      </x:c>
      <x:c r="BH316" s="24" t="str">
        <x:v>2026-09-23 10:35 CT</x:v>
      </x:c>
    </x:row>
    <x:row r="317">
      <x:c r="A317" s="12" t="str">
        <x:v>Minnesota Vikings</x:v>
      </x:c>
      <x:c r="B317" s="12" t="str">
        <x:v>MIN</x:v>
      </x:c>
      <x:c r="C317" s="12" t="str">
        <x:v>DST</x:v>
      </x:c>
      <x:c r="D317" s="12" t="str">
        <x:v>TB</x:v>
      </x:c>
      <x:c r="E317" s="12" t="str">
        <x:v>Away</x:v>
      </x:c>
      <x:c r="F317" s="12" t="str">
        <x:v>2026-09-27</x:v>
      </x:c>
      <x:c r="G317" s="19" t="n">
        <x:v>1</x:v>
      </x:c>
      <x:c r="H317" s="20" t="str">
        <x:v>ACTIVE</x:v>
      </x:c>
      <x:c r="I317" s="20" t="n">
        <x:v>62</x:v>
      </x:c>
      <x:c r="J317" s="20" t="str">
        <x:v>Defensive snaps</x:v>
      </x:c>
      <x:c r="K317" s="20" t="n">
        <x:v>62</x:v>
      </x:c>
      <x:c r="L317" s="21" t="n">
        <x:v>0</x:v>
      </x:c>
      <x:c r="M317" s="21" t="n">
        <x:v>0</x:v>
      </x:c>
      <x:c r="N317" s="21" t="n">
        <x:v>0</x:v>
      </x:c>
      <x:c r="O317" s="21" t="n">
        <x:v>0</x:v>
      </x:c>
      <x:c r="P317" s="21" t="n">
        <x:v>0</x:v>
      </x:c>
      <x:c r="Q317" s="21" t="n">
        <x:v>0</x:v>
      </x:c>
      <x:c r="R317" s="21" t="n">
        <x:v>0</x:v>
      </x:c>
      <x:c r="S317" s="21" t="n">
        <x:v>0</x:v>
      </x:c>
      <x:c r="T317" s="21" t="n">
        <x:v>0</x:v>
      </x:c>
      <x:c r="U317" s="21" t="n">
        <x:v>0</x:v>
      </x:c>
      <x:c r="V317" s="21" t="n">
        <x:v>0</x:v>
      </x:c>
      <x:c r="W317" s="21" t="n">
        <x:v>0</x:v>
      </x:c>
      <x:c r="X317" s="21" t="n">
        <x:v>0</x:v>
      </x:c>
      <x:c r="Y317" s="21" t="n">
        <x:v>0</x:v>
      </x:c>
      <x:c r="Z317" s="21" t="n">
        <x:v>0</x:v>
      </x:c>
      <x:c r="AA317" s="21" t="n">
        <x:v>0</x:v>
      </x:c>
      <x:c r="AB317" s="21" t="n">
        <x:v>0</x:v>
      </x:c>
      <x:c r="AC317" s="21" t="n">
        <x:v>0</x:v>
      </x:c>
      <x:c r="AD317" s="21" t="n">
        <x:v>0</x:v>
      </x:c>
      <x:c r="AE317" s="21" t="n">
        <x:v>0</x:v>
      </x:c>
      <x:c r="AF317" s="21" t="n">
        <x:v>0</x:v>
      </x:c>
      <x:c r="AG317" s="21" t="n">
        <x:v>2.7281535532994927</x:v>
      </x:c>
      <x:c r="AH317" s="21" t="n">
        <x:v>1.3095137055837562</x:v>
      </x:c>
      <x:c r="AI317" s="21" t="n">
        <x:v>0.08730091370558377</x:v>
      </x:c>
      <x:c r="AJ317" s="21" t="n">
        <x:v>21</x:v>
      </x:c>
      <x:c r="AK317" s="21" t="n">
        <x:v>340</x:v>
      </x:c>
      <x:c r="AL317" s="21" t="n">
        <x:v>2.7281535532994927</x:v>
      </x:c>
      <x:c r="AM317" s="21" t="n">
        <x:v>1</x:v>
      </x:c>
      <x:c r="AN317" s="21" t="n">
        <x:v>1</x:v>
      </x:c>
      <x:c r="AO317" s="21" t="n">
        <x:v>1</x:v>
      </x:c>
      <x:c r="AP317" s="21" t="n">
        <x:v>0.99</x:v>
      </x:c>
      <x:c r="AQ317" s="21" t="n">
        <x:v>1.01</x:v>
      </x:c>
      <x:c r="AR317" s="21" t="n">
        <x:v>1</x:v>
      </x:c>
      <x:c r="AS317" s="21" t="n">
        <x:v>1</x:v>
      </x:c>
      <x:c r="AT317" s="21" t="n">
        <x:v>1</x:v>
      </x:c>
      <x:c r="AU317" s="21" t="n">
        <x:v>0</x:v>
      </x:c>
      <x:c r="AV317" s="22" t="n">
        <x:f>IF(C317="QB",N317*0.04+O317*4-P317*2+R317*0.1+S317*6,IF(OR(C317="RB",C317="WR",C317="TE"),U317*0.1+V317*6+R317*0.1+S317*6+X317*0.5+Y317*0.1+Z317*6,IF(C317="K",AC317*3+AD317*4+AE317*5+AF317,IF(C317="DST",AG317+AH317*2+AI317*6+AL317,0))))</x:f>
        <x:v>8.59914</x:v>
      </x:c>
      <x:c r="AW317" s="22" t="n">
        <x:f>(AV317+AU317)*G317</x:f>
        <x:v>8.59914</x:v>
      </x:c>
      <x:c r="AX317" s="22" t="n">
        <x:f>MAX(0,AW317*IF(C317="QB",0.68,IF(C317="RB",0.58,IF(C317="WR",0.52,IF(C317="TE",0.50,IF(C317="K",0.55,0.40))))))</x:f>
        <x:v>3.4396560000000003</x:v>
      </x:c>
      <x:c r="AY317" s="22" t="n">
        <x:f>AW317*IF(C317="QB",1.32,IF(C317="RB",1.45,IF(C317="WR",1.55,IF(C317="TE",1.60,IF(C317="K",1.45,1.65)))))</x:f>
        <x:v>14.188581</x:v>
      </x:c>
      <x:c r="AZ317" s="12" t="str">
        <x:v>High</x:v>
      </x:c>
      <x:c r="BA317" s="12" t="n">
        <x:v>1</x:v>
      </x:c>
      <x:c r="BB317" s="12" t="n">
        <x:f>COUNTIFS($C$2:$C$344,C317,$AW$2:$AW$344,"&gt;"&amp;AW317,$G$2:$G$344,"&gt;0")+COUNTIFS($C$2:C317,C317,$AW$2:AW317,AW317,$G$2:G317,"&gt;0")</x:f>
        <x:v>5</x:v>
      </x:c>
      <x:c r="BC317" s="12" t="n">
        <x:v>5</x:v>
      </x:c>
      <x:c r="BD317" s="12" t="str">
        <x:f>IF(BB317&lt;BC317,"↑",IF(BB317&gt;BC317,"↓","→"))</x:f>
        <x:v>→</x:v>
      </x:c>
      <x:c r="BE317" s="23" t="str">
        <x:v>Fantasy Football Brief ROS baseline; official NFL schedule</x:v>
      </x:c>
      <x:c r="BF317" s="23" t="str">
        <x:v>Current role and availability baseline; all adjustment factors shown numerically</x:v>
      </x:c>
      <x:c r="BG317" s="23" t="str">
        <x:v>Material injury, depth-chart, or role change</x:v>
      </x:c>
      <x:c r="BH317" s="24" t="str">
        <x:v>2026-09-23 10:35 CT</x:v>
      </x:c>
    </x:row>
    <x:row r="318">
      <x:c r="A318" s="12" t="str">
        <x:v>Philadelphia Eagles</x:v>
      </x:c>
      <x:c r="B318" s="12" t="str">
        <x:v>PHI</x:v>
      </x:c>
      <x:c r="C318" s="12" t="str">
        <x:v>DST</x:v>
      </x:c>
      <x:c r="D318" s="12" t="str">
        <x:v>CHI</x:v>
      </x:c>
      <x:c r="E318" s="12" t="str">
        <x:v>Away</x:v>
      </x:c>
      <x:c r="F318" s="12" t="str">
        <x:v>2026-09-28</x:v>
      </x:c>
      <x:c r="G318" s="19" t="n">
        <x:v>1</x:v>
      </x:c>
      <x:c r="H318" s="20" t="str">
        <x:v>ACTIVE</x:v>
      </x:c>
      <x:c r="I318" s="20" t="n">
        <x:v>62</x:v>
      </x:c>
      <x:c r="J318" s="20" t="str">
        <x:v>Defensive snaps</x:v>
      </x:c>
      <x:c r="K318" s="20" t="n">
        <x:v>62</x:v>
      </x:c>
      <x:c r="L318" s="21" t="n">
        <x:v>0</x:v>
      </x:c>
      <x:c r="M318" s="21" t="n">
        <x:v>0</x:v>
      </x:c>
      <x:c r="N318" s="21" t="n">
        <x:v>0</x:v>
      </x:c>
      <x:c r="O318" s="21" t="n">
        <x:v>0</x:v>
      </x:c>
      <x:c r="P318" s="21" t="n">
        <x:v>0</x:v>
      </x:c>
      <x:c r="Q318" s="21" t="n">
        <x:v>0</x:v>
      </x:c>
      <x:c r="R318" s="21" t="n">
        <x:v>0</x:v>
      </x:c>
      <x:c r="S318" s="21" t="n">
        <x:v>0</x:v>
      </x:c>
      <x:c r="T318" s="21" t="n">
        <x:v>0</x:v>
      </x:c>
      <x:c r="U318" s="21" t="n">
        <x:v>0</x:v>
      </x:c>
      <x:c r="V318" s="21" t="n">
        <x:v>0</x:v>
      </x:c>
      <x:c r="W318" s="21" t="n">
        <x:v>0</x:v>
      </x:c>
      <x:c r="X318" s="21" t="n">
        <x:v>0</x:v>
      </x:c>
      <x:c r="Y318" s="21" t="n">
        <x:v>0</x:v>
      </x:c>
      <x:c r="Z318" s="21" t="n">
        <x:v>0</x:v>
      </x:c>
      <x:c r="AA318" s="21" t="n">
        <x:v>0</x:v>
      </x:c>
      <x:c r="AB318" s="21" t="n">
        <x:v>0</x:v>
      </x:c>
      <x:c r="AC318" s="21" t="n">
        <x:v>0</x:v>
      </x:c>
      <x:c r="AD318" s="21" t="n">
        <x:v>0</x:v>
      </x:c>
      <x:c r="AE318" s="21" t="n">
        <x:v>0</x:v>
      </x:c>
      <x:c r="AF318" s="21" t="n">
        <x:v>0</x:v>
      </x:c>
      <x:c r="AG318" s="21" t="n">
        <x:v>2.6998286802030456</x:v>
      </x:c>
      <x:c r="AH318" s="21" t="n">
        <x:v>1.295917766497462</x:v>
      </x:c>
      <x:c r="AI318" s="21" t="n">
        <x:v>0.08639451776649747</x:v>
      </x:c>
      <x:c r="AJ318" s="21" t="n">
        <x:v>21</x:v>
      </x:c>
      <x:c r="AK318" s="21" t="n">
        <x:v>340</x:v>
      </x:c>
      <x:c r="AL318" s="21" t="n">
        <x:v>2.6998286802030456</x:v>
      </x:c>
      <x:c r="AM318" s="21" t="n">
        <x:v>1</x:v>
      </x:c>
      <x:c r="AN318" s="21" t="n">
        <x:v>1</x:v>
      </x:c>
      <x:c r="AO318" s="21" t="n">
        <x:v>1</x:v>
      </x:c>
      <x:c r="AP318" s="21" t="n">
        <x:v>1.03</x:v>
      </x:c>
      <x:c r="AQ318" s="21" t="n">
        <x:v>1.02</x:v>
      </x:c>
      <x:c r="AR318" s="21" t="n">
        <x:v>1</x:v>
      </x:c>
      <x:c r="AS318" s="21" t="n">
        <x:v>1</x:v>
      </x:c>
      <x:c r="AT318" s="21" t="n">
        <x:v>1</x:v>
      </x:c>
      <x:c r="AU318" s="21" t="n">
        <x:v>0</x:v>
      </x:c>
      <x:c r="AV318" s="22" t="n">
        <x:f>IF(C318="QB",N318*0.04+O318*4-P318*2+R318*0.1+S318*6,IF(OR(C318="RB",C318="WR",C318="TE"),U318*0.1+V318*6+R318*0.1+S318*6+X318*0.5+Y318*0.1+Z318*6,IF(C318="K",AC318*3+AD318*4+AE318*5+AF318,IF(C318="DST",AG318+AH318*2+AI318*6+AL318,0))))</x:f>
        <x:v>8.50986</x:v>
      </x:c>
      <x:c r="AW318" s="22" t="n">
        <x:f>(AV318+AU318)*G318</x:f>
        <x:v>8.50986</x:v>
      </x:c>
      <x:c r="AX318" s="22" t="n">
        <x:f>MAX(0,AW318*IF(C318="QB",0.68,IF(C318="RB",0.58,IF(C318="WR",0.52,IF(C318="TE",0.50,IF(C318="K",0.55,0.40))))))</x:f>
        <x:v>3.403944</x:v>
      </x:c>
      <x:c r="AY318" s="22" t="n">
        <x:f>AW318*IF(C318="QB",1.32,IF(C318="RB",1.45,IF(C318="WR",1.55,IF(C318="TE",1.60,IF(C318="K",1.45,1.65)))))</x:f>
        <x:v>14.041268999999998</x:v>
      </x:c>
      <x:c r="AZ318" s="12" t="str">
        <x:v>High</x:v>
      </x:c>
      <x:c r="BA318" s="12" t="n">
        <x:v>1</x:v>
      </x:c>
      <x:c r="BB318" s="12" t="n">
        <x:f>COUNTIFS($C$2:$C$344,C318,$AW$2:$AW$344,"&gt;"&amp;AW318,$G$2:$G$344,"&gt;0")+COUNTIFS($C$2:C318,C318,$AW$2:AW318,AW318,$G$2:G318,"&gt;0")</x:f>
        <x:v>6</x:v>
      </x:c>
      <x:c r="BC318" s="12" t="n">
        <x:v>6</x:v>
      </x:c>
      <x:c r="BD318" s="12" t="str">
        <x:f>IF(BB318&lt;BC318,"↑",IF(BB318&gt;BC318,"↓","→"))</x:f>
        <x:v>→</x:v>
      </x:c>
      <x:c r="BE318" s="23" t="str">
        <x:v>Fantasy Football Brief ROS baseline; official NFL schedule</x:v>
      </x:c>
      <x:c r="BF318" s="23" t="str">
        <x:v>Current role and availability baseline; all adjustment factors shown numerically</x:v>
      </x:c>
      <x:c r="BG318" s="23" t="str">
        <x:v>Material injury, depth-chart, or role change</x:v>
      </x:c>
      <x:c r="BH318" s="24" t="str">
        <x:v>2026-09-23 10:35 CT</x:v>
      </x:c>
    </x:row>
    <x:row r="319">
      <x:c r="A319" s="12" t="str">
        <x:v>Los Angeles Chargers</x:v>
      </x:c>
      <x:c r="B319" s="12" t="str">
        <x:v>LAC</x:v>
      </x:c>
      <x:c r="C319" s="12" t="str">
        <x:v>DST</x:v>
      </x:c>
      <x:c r="D319" s="12" t="str">
        <x:v>BUF</x:v>
      </x:c>
      <x:c r="E319" s="12" t="str">
        <x:v>Away</x:v>
      </x:c>
      <x:c r="F319" s="12" t="str">
        <x:v>2026-09-27</x:v>
      </x:c>
      <x:c r="G319" s="19" t="n">
        <x:v>1</x:v>
      </x:c>
      <x:c r="H319" s="20" t="str">
        <x:v>ACTIVE</x:v>
      </x:c>
      <x:c r="I319" s="20" t="n">
        <x:v>62</x:v>
      </x:c>
      <x:c r="J319" s="20" t="str">
        <x:v>Defensive snaps</x:v>
      </x:c>
      <x:c r="K319" s="20" t="n">
        <x:v>62</x:v>
      </x:c>
      <x:c r="L319" s="21" t="n">
        <x:v>0</x:v>
      </x:c>
      <x:c r="M319" s="21" t="n">
        <x:v>0</x:v>
      </x:c>
      <x:c r="N319" s="21" t="n">
        <x:v>0</x:v>
      </x:c>
      <x:c r="O319" s="21" t="n">
        <x:v>0</x:v>
      </x:c>
      <x:c r="P319" s="21" t="n">
        <x:v>0</x:v>
      </x:c>
      <x:c r="Q319" s="21" t="n">
        <x:v>0</x:v>
      </x:c>
      <x:c r="R319" s="21" t="n">
        <x:v>0</x:v>
      </x:c>
      <x:c r="S319" s="21" t="n">
        <x:v>0</x:v>
      </x:c>
      <x:c r="T319" s="21" t="n">
        <x:v>0</x:v>
      </x:c>
      <x:c r="U319" s="21" t="n">
        <x:v>0</x:v>
      </x:c>
      <x:c r="V319" s="21" t="n">
        <x:v>0</x:v>
      </x:c>
      <x:c r="W319" s="21" t="n">
        <x:v>0</x:v>
      </x:c>
      <x:c r="X319" s="21" t="n">
        <x:v>0</x:v>
      </x:c>
      <x:c r="Y319" s="21" t="n">
        <x:v>0</x:v>
      </x:c>
      <x:c r="Z319" s="21" t="n">
        <x:v>0</x:v>
      </x:c>
      <x:c r="AA319" s="21" t="n">
        <x:v>0</x:v>
      </x:c>
      <x:c r="AB319" s="21" t="n">
        <x:v>0</x:v>
      </x:c>
      <x:c r="AC319" s="21" t="n">
        <x:v>0</x:v>
      </x:c>
      <x:c r="AD319" s="21" t="n">
        <x:v>0</x:v>
      </x:c>
      <x:c r="AE319" s="21" t="n">
        <x:v>0</x:v>
      </x:c>
      <x:c r="AF319" s="21" t="n">
        <x:v>0</x:v>
      </x:c>
      <x:c r="AG319" s="21" t="n">
        <x:v>2.676243654822335</x:v>
      </x:c>
      <x:c r="AH319" s="21" t="n">
        <x:v>1.2845969543147207</x:v>
      </x:c>
      <x:c r="AI319" s="21" t="n">
        <x:v>0.08563979695431471</x:v>
      </x:c>
      <x:c r="AJ319" s="21" t="n">
        <x:v>21</x:v>
      </x:c>
      <x:c r="AK319" s="21" t="n">
        <x:v>340</x:v>
      </x:c>
      <x:c r="AL319" s="21" t="n">
        <x:v>2.676243654822335</x:v>
      </x:c>
      <x:c r="AM319" s="21" t="n">
        <x:v>1</x:v>
      </x:c>
      <x:c r="AN319" s="21" t="n">
        <x:v>1</x:v>
      </x:c>
      <x:c r="AO319" s="21" t="n">
        <x:v>1</x:v>
      </x:c>
      <x:c r="AP319" s="21" t="n">
        <x:v>1.01</x:v>
      </x:c>
      <x:c r="AQ319" s="21" t="n">
        <x:v>0.96</x:v>
      </x:c>
      <x:c r="AR319" s="21" t="n">
        <x:v>1</x:v>
      </x:c>
      <x:c r="AS319" s="21" t="n">
        <x:v>1</x:v>
      </x:c>
      <x:c r="AT319" s="21" t="n">
        <x:v>1</x:v>
      </x:c>
      <x:c r="AU319" s="21" t="n">
        <x:v>0</x:v>
      </x:c>
      <x:c r="AV319" s="22" t="n">
        <x:f>IF(C319="QB",N319*0.04+O319*4-P319*2+R319*0.1+S319*6,IF(OR(C319="RB",C319="WR",C319="TE"),U319*0.1+V319*6+R319*0.1+S319*6+X319*0.5+Y319*0.1+Z319*6,IF(C319="K",AC319*3+AD319*4+AE319*5+AF319,IF(C319="DST",AG319+AH319*2+AI319*6+AL319,0))))</x:f>
        <x:v>8.43552</x:v>
      </x:c>
      <x:c r="AW319" s="22" t="n">
        <x:f>(AV319+AU319)*G319</x:f>
        <x:v>8.43552</x:v>
      </x:c>
      <x:c r="AX319" s="22" t="n">
        <x:f>MAX(0,AW319*IF(C319="QB",0.68,IF(C319="RB",0.58,IF(C319="WR",0.52,IF(C319="TE",0.50,IF(C319="K",0.55,0.40))))))</x:f>
        <x:v>3.3742080000000003</x:v>
      </x:c>
      <x:c r="AY319" s="22" t="n">
        <x:f>AW319*IF(C319="QB",1.32,IF(C319="RB",1.45,IF(C319="WR",1.55,IF(C319="TE",1.60,IF(C319="K",1.45,1.65)))))</x:f>
        <x:v>13.918607999999999</x:v>
      </x:c>
      <x:c r="AZ319" s="12" t="str">
        <x:v>High</x:v>
      </x:c>
      <x:c r="BA319" s="12" t="n">
        <x:v>1</x:v>
      </x:c>
      <x:c r="BB319" s="12" t="n">
        <x:f>COUNTIFS($C$2:$C$344,C319,$AW$2:$AW$344,"&gt;"&amp;AW319,$G$2:$G$344,"&gt;0")+COUNTIFS($C$2:C319,C319,$AW$2:AW319,AW319,$G$2:G319,"&gt;0")</x:f>
        <x:v>7</x:v>
      </x:c>
      <x:c r="BC319" s="12" t="n">
        <x:v>7</x:v>
      </x:c>
      <x:c r="BD319" s="12" t="str">
        <x:f>IF(BB319&lt;BC319,"↑",IF(BB319&gt;BC319,"↓","→"))</x:f>
        <x:v>→</x:v>
      </x:c>
      <x:c r="BE319" s="23" t="str">
        <x:v>Fantasy Football Brief ROS baseline; official NFL schedule</x:v>
      </x:c>
      <x:c r="BF319" s="23" t="str">
        <x:v>Current role and availability baseline; all adjustment factors shown numerically</x:v>
      </x:c>
      <x:c r="BG319" s="23" t="str">
        <x:v>Material injury, depth-chart, or role change</x:v>
      </x:c>
      <x:c r="BH319" s="24" t="str">
        <x:v>2026-09-23 10:35 CT</x:v>
      </x:c>
    </x:row>
    <x:row r="320">
      <x:c r="A320" s="12" t="str">
        <x:v>Los Angeles Rams</x:v>
      </x:c>
      <x:c r="B320" s="12" t="str">
        <x:v>LAR</x:v>
      </x:c>
      <x:c r="C320" s="12" t="str">
        <x:v>DST</x:v>
      </x:c>
      <x:c r="D320" s="12" t="str">
        <x:v>DEN</x:v>
      </x:c>
      <x:c r="E320" s="12" t="str">
        <x:v>Away</x:v>
      </x:c>
      <x:c r="F320" s="12" t="str">
        <x:v>2026-09-27</x:v>
      </x:c>
      <x:c r="G320" s="19" t="n">
        <x:v>1</x:v>
      </x:c>
      <x:c r="H320" s="20" t="str">
        <x:v>ACTIVE</x:v>
      </x:c>
      <x:c r="I320" s="20" t="n">
        <x:v>62</x:v>
      </x:c>
      <x:c r="J320" s="20" t="str">
        <x:v>Defensive snaps</x:v>
      </x:c>
      <x:c r="K320" s="20" t="n">
        <x:v>62</x:v>
      </x:c>
      <x:c r="L320" s="21" t="n">
        <x:v>0</x:v>
      </x:c>
      <x:c r="M320" s="21" t="n">
        <x:v>0</x:v>
      </x:c>
      <x:c r="N320" s="21" t="n">
        <x:v>0</x:v>
      </x:c>
      <x:c r="O320" s="21" t="n">
        <x:v>0</x:v>
      </x:c>
      <x:c r="P320" s="21" t="n">
        <x:v>0</x:v>
      </x:c>
      <x:c r="Q320" s="21" t="n">
        <x:v>0</x:v>
      </x:c>
      <x:c r="R320" s="21" t="n">
        <x:v>0</x:v>
      </x:c>
      <x:c r="S320" s="21" t="n">
        <x:v>0</x:v>
      </x:c>
      <x:c r="T320" s="21" t="n">
        <x:v>0</x:v>
      </x:c>
      <x:c r="U320" s="21" t="n">
        <x:v>0</x:v>
      </x:c>
      <x:c r="V320" s="21" t="n">
        <x:v>0</x:v>
      </x:c>
      <x:c r="W320" s="21" t="n">
        <x:v>0</x:v>
      </x:c>
      <x:c r="X320" s="21" t="n">
        <x:v>0</x:v>
      </x:c>
      <x:c r="Y320" s="21" t="n">
        <x:v>0</x:v>
      </x:c>
      <x:c r="Z320" s="21" t="n">
        <x:v>0</x:v>
      </x:c>
      <x:c r="AA320" s="21" t="n">
        <x:v>0</x:v>
      </x:c>
      <x:c r="AB320" s="21" t="n">
        <x:v>0</x:v>
      </x:c>
      <x:c r="AC320" s="21" t="n">
        <x:v>0</x:v>
      </x:c>
      <x:c r="AD320" s="21" t="n">
        <x:v>0</x:v>
      </x:c>
      <x:c r="AE320" s="21" t="n">
        <x:v>0</x:v>
      </x:c>
      <x:c r="AF320" s="21" t="n">
        <x:v>0</x:v>
      </x:c>
      <x:c r="AG320" s="21" t="n">
        <x:v>2.6455837563451783</x:v>
      </x:c>
      <x:c r="AH320" s="21" t="n">
        <x:v>1.2698802030456855</x:v>
      </x:c>
      <x:c r="AI320" s="21" t="n">
        <x:v>0.0846586802030457</x:v>
      </x:c>
      <x:c r="AJ320" s="21" t="n">
        <x:v>21</x:v>
      </x:c>
      <x:c r="AK320" s="21" t="n">
        <x:v>340</x:v>
      </x:c>
      <x:c r="AL320" s="21" t="n">
        <x:v>2.6455837563451783</x:v>
      </x:c>
      <x:c r="AM320" s="21" t="n">
        <x:v>1</x:v>
      </x:c>
      <x:c r="AN320" s="21" t="n">
        <x:v>1</x:v>
      </x:c>
      <x:c r="AO320" s="21" t="n">
        <x:v>1</x:v>
      </x:c>
      <x:c r="AP320" s="21" t="n">
        <x:v>1.03</x:v>
      </x:c>
      <x:c r="AQ320" s="21" t="n">
        <x:v>0.92</x:v>
      </x:c>
      <x:c r="AR320" s="21" t="n">
        <x:v>1</x:v>
      </x:c>
      <x:c r="AS320" s="21" t="n">
        <x:v>1</x:v>
      </x:c>
      <x:c r="AT320" s="21" t="n">
        <x:v>1</x:v>
      </x:c>
      <x:c r="AU320" s="21" t="n">
        <x:v>0</x:v>
      </x:c>
      <x:c r="AV320" s="22" t="n">
        <x:f>IF(C320="QB",N320*0.04+O320*4-P320*2+R320*0.1+S320*6,IF(OR(C320="RB",C320="WR",C320="TE"),U320*0.1+V320*6+R320*0.1+S320*6+X320*0.5+Y320*0.1+Z320*6,IF(C320="K",AC320*3+AD320*4+AE320*5+AF320,IF(C320="DST",AG320+AH320*2+AI320*6+AL320,0))))</x:f>
        <x:v>8.338880000000001</x:v>
      </x:c>
      <x:c r="AW320" s="22" t="n">
        <x:f>(AV320+AU320)*G320</x:f>
        <x:v>8.338880000000001</x:v>
      </x:c>
      <x:c r="AX320" s="22" t="n">
        <x:f>MAX(0,AW320*IF(C320="QB",0.68,IF(C320="RB",0.58,IF(C320="WR",0.52,IF(C320="TE",0.50,IF(C320="K",0.55,0.40))))))</x:f>
        <x:v>3.3355520000000007</x:v>
      </x:c>
      <x:c r="AY320" s="22" t="n">
        <x:f>AW320*IF(C320="QB",1.32,IF(C320="RB",1.45,IF(C320="WR",1.55,IF(C320="TE",1.60,IF(C320="K",1.45,1.65)))))</x:f>
        <x:v>13.759152000000002</x:v>
      </x:c>
      <x:c r="AZ320" s="12" t="str">
        <x:v>High</x:v>
      </x:c>
      <x:c r="BA320" s="12" t="n">
        <x:v>1</x:v>
      </x:c>
      <x:c r="BB320" s="12" t="n">
        <x:f>COUNTIFS($C$2:$C$344,C320,$AW$2:$AW$344,"&gt;"&amp;AW320,$G$2:$G$344,"&gt;0")+COUNTIFS($C$2:C320,C320,$AW$2:AW320,AW320,$G$2:G320,"&gt;0")</x:f>
        <x:v>8</x:v>
      </x:c>
      <x:c r="BC320" s="12" t="n">
        <x:v>8</x:v>
      </x:c>
      <x:c r="BD320" s="12" t="str">
        <x:f>IF(BB320&lt;BC320,"↑",IF(BB320&gt;BC320,"↓","→"))</x:f>
        <x:v>→</x:v>
      </x:c>
      <x:c r="BE320" s="23" t="str">
        <x:v>Fantasy Football Brief ROS baseline; official NFL schedule</x:v>
      </x:c>
      <x:c r="BF320" s="23" t="str">
        <x:v>Current role and availability baseline; all adjustment factors shown numerically</x:v>
      </x:c>
      <x:c r="BG320" s="23" t="str">
        <x:v>Material injury, depth-chart, or role change</x:v>
      </x:c>
      <x:c r="BH320" s="24" t="str">
        <x:v>2026-09-23 10:35 CT</x:v>
      </x:c>
    </x:row>
    <x:row r="321">
      <x:c r="A321" s="12" t="str">
        <x:v>Detroit Lions</x:v>
      </x:c>
      <x:c r="B321" s="12" t="str">
        <x:v>DET</x:v>
      </x:c>
      <x:c r="C321" s="12" t="str">
        <x:v>DST</x:v>
      </x:c>
      <x:c r="D321" s="12" t="str">
        <x:v>NYJ</x:v>
      </x:c>
      <x:c r="E321" s="12" t="str">
        <x:v>Home</x:v>
      </x:c>
      <x:c r="F321" s="12" t="str">
        <x:v>2026-09-27</x:v>
      </x:c>
      <x:c r="G321" s="19" t="n">
        <x:v>1</x:v>
      </x:c>
      <x:c r="H321" s="20" t="str">
        <x:v>ACTIVE</x:v>
      </x:c>
      <x:c r="I321" s="20" t="n">
        <x:v>62</x:v>
      </x:c>
      <x:c r="J321" s="20" t="str">
        <x:v>Defensive snaps</x:v>
      </x:c>
      <x:c r="K321" s="20" t="n">
        <x:v>62</x:v>
      </x:c>
      <x:c r="L321" s="21" t="n">
        <x:v>0</x:v>
      </x:c>
      <x:c r="M321" s="21" t="n">
        <x:v>0</x:v>
      </x:c>
      <x:c r="N321" s="21" t="n">
        <x:v>0</x:v>
      </x:c>
      <x:c r="O321" s="21" t="n">
        <x:v>0</x:v>
      </x:c>
      <x:c r="P321" s="21" t="n">
        <x:v>0</x:v>
      </x:c>
      <x:c r="Q321" s="21" t="n">
        <x:v>0</x:v>
      </x:c>
      <x:c r="R321" s="21" t="n">
        <x:v>0</x:v>
      </x:c>
      <x:c r="S321" s="21" t="n">
        <x:v>0</x:v>
      </x:c>
      <x:c r="T321" s="21" t="n">
        <x:v>0</x:v>
      </x:c>
      <x:c r="U321" s="21" t="n">
        <x:v>0</x:v>
      </x:c>
      <x:c r="V321" s="21" t="n">
        <x:v>0</x:v>
      </x:c>
      <x:c r="W321" s="21" t="n">
        <x:v>0</x:v>
      </x:c>
      <x:c r="X321" s="21" t="n">
        <x:v>0</x:v>
      </x:c>
      <x:c r="Y321" s="21" t="n">
        <x:v>0</x:v>
      </x:c>
      <x:c r="Z321" s="21" t="n">
        <x:v>0</x:v>
      </x:c>
      <x:c r="AA321" s="21" t="n">
        <x:v>0</x:v>
      </x:c>
      <x:c r="AB321" s="21" t="n">
        <x:v>0</x:v>
      </x:c>
      <x:c r="AC321" s="21" t="n">
        <x:v>0</x:v>
      </x:c>
      <x:c r="AD321" s="21" t="n">
        <x:v>0</x:v>
      </x:c>
      <x:c r="AE321" s="21" t="n">
        <x:v>0</x:v>
      </x:c>
      <x:c r="AF321" s="21" t="n">
        <x:v>0</x:v>
      </x:c>
      <x:c r="AG321" s="21" t="n">
        <x:v>2.6253236040609136</x:v>
      </x:c>
      <x:c r="AH321" s="21" t="n">
        <x:v>1.2601553299492385</x:v>
      </x:c>
      <x:c r="AI321" s="21" t="n">
        <x:v>0.08401035532994923</x:v>
      </x:c>
      <x:c r="AJ321" s="21" t="n">
        <x:v>21</x:v>
      </x:c>
      <x:c r="AK321" s="21" t="n">
        <x:v>340</x:v>
      </x:c>
      <x:c r="AL321" s="21" t="n">
        <x:v>2.6253236040609136</x:v>
      </x:c>
      <x:c r="AM321" s="21" t="n">
        <x:v>1</x:v>
      </x:c>
      <x:c r="AN321" s="21" t="n">
        <x:v>1</x:v>
      </x:c>
      <x:c r="AO321" s="21" t="n">
        <x:v>1</x:v>
      </x:c>
      <x:c r="AP321" s="21" t="n">
        <x:v>1.03</x:v>
      </x:c>
      <x:c r="AQ321" s="21" t="n">
        <x:v>1.03</x:v>
      </x:c>
      <x:c r="AR321" s="21" t="n">
        <x:v>1</x:v>
      </x:c>
      <x:c r="AS321" s="21" t="n">
        <x:v>1</x:v>
      </x:c>
      <x:c r="AT321" s="21" t="n">
        <x:v>1</x:v>
      </x:c>
      <x:c r="AU321" s="21" t="n">
        <x:v>0</x:v>
      </x:c>
      <x:c r="AV321" s="22" t="n">
        <x:f>IF(C321="QB",N321*0.04+O321*4-P321*2+R321*0.1+S321*6,IF(OR(C321="RB",C321="WR",C321="TE"),U321*0.1+V321*6+R321*0.1+S321*6+X321*0.5+Y321*0.1+Z321*6,IF(C321="K",AC321*3+AD321*4+AE321*5+AF321,IF(C321="DST",AG321+AH321*2+AI321*6+AL321,0))))</x:f>
        <x:v>8.27502</x:v>
      </x:c>
      <x:c r="AW321" s="22" t="n">
        <x:f>(AV321+AU321)*G321</x:f>
        <x:v>8.27502</x:v>
      </x:c>
      <x:c r="AX321" s="22" t="n">
        <x:f>MAX(0,AW321*IF(C321="QB",0.68,IF(C321="RB",0.58,IF(C321="WR",0.52,IF(C321="TE",0.50,IF(C321="K",0.55,0.40))))))</x:f>
        <x:v>3.310008</x:v>
      </x:c>
      <x:c r="AY321" s="22" t="n">
        <x:f>AW321*IF(C321="QB",1.32,IF(C321="RB",1.45,IF(C321="WR",1.55,IF(C321="TE",1.60,IF(C321="K",1.45,1.65)))))</x:f>
        <x:v>13.653782999999999</x:v>
      </x:c>
      <x:c r="AZ321" s="12" t="str">
        <x:v>High</x:v>
      </x:c>
      <x:c r="BA321" s="12" t="n">
        <x:v>2</x:v>
      </x:c>
      <x:c r="BB321" s="12" t="n">
        <x:f>COUNTIFS($C$2:$C$344,C321,$AW$2:$AW$344,"&gt;"&amp;AW321,$G$2:$G$344,"&gt;0")+COUNTIFS($C$2:C321,C321,$AW$2:AW321,AW321,$G$2:G321,"&gt;0")</x:f>
        <x:v>9</x:v>
      </x:c>
      <x:c r="BC321" s="12" t="n">
        <x:v>9</x:v>
      </x:c>
      <x:c r="BD321" s="12" t="str">
        <x:f>IF(BB321&lt;BC321,"↑",IF(BB321&gt;BC321,"↓","→"))</x:f>
        <x:v>→</x:v>
      </x:c>
      <x:c r="BE321" s="23" t="str">
        <x:v>Fantasy Football Brief ROS baseline; official NFL schedule</x:v>
      </x:c>
      <x:c r="BF321" s="23" t="str">
        <x:v>Current role and availability baseline; all adjustment factors shown numerically</x:v>
      </x:c>
      <x:c r="BG321" s="23" t="str">
        <x:v>Material injury, depth-chart, or role change</x:v>
      </x:c>
      <x:c r="BH321" s="24" t="str">
        <x:v>2026-09-23 10:35 CT</x:v>
      </x:c>
    </x:row>
    <x:row r="322">
      <x:c r="A322" s="12" t="str">
        <x:v>Jacksonville Jaguars</x:v>
      </x:c>
      <x:c r="B322" s="12" t="str">
        <x:v>JAC</x:v>
      </x:c>
      <x:c r="C322" s="12" t="str">
        <x:v>DST</x:v>
      </x:c>
      <x:c r="D322" s="12" t="str">
        <x:v>NE</x:v>
      </x:c>
      <x:c r="E322" s="12" t="str">
        <x:v>Home</x:v>
      </x:c>
      <x:c r="F322" s="12" t="str">
        <x:v>2026-09-27</x:v>
      </x:c>
      <x:c r="G322" s="19" t="n">
        <x:v>1</x:v>
      </x:c>
      <x:c r="H322" s="20" t="str">
        <x:v>ACTIVE</x:v>
      </x:c>
      <x:c r="I322" s="20" t="n">
        <x:v>62</x:v>
      </x:c>
      <x:c r="J322" s="20" t="str">
        <x:v>Defensive snaps</x:v>
      </x:c>
      <x:c r="K322" s="20" t="n">
        <x:v>62</x:v>
      </x:c>
      <x:c r="L322" s="21" t="n">
        <x:v>0</x:v>
      </x:c>
      <x:c r="M322" s="21" t="n">
        <x:v>0</x:v>
      </x:c>
      <x:c r="N322" s="21" t="n">
        <x:v>0</x:v>
      </x:c>
      <x:c r="O322" s="21" t="n">
        <x:v>0</x:v>
      </x:c>
      <x:c r="P322" s="21" t="n">
        <x:v>0</x:v>
      </x:c>
      <x:c r="Q322" s="21" t="n">
        <x:v>0</x:v>
      </x:c>
      <x:c r="R322" s="21" t="n">
        <x:v>0</x:v>
      </x:c>
      <x:c r="S322" s="21" t="n">
        <x:v>0</x:v>
      </x:c>
      <x:c r="T322" s="21" t="n">
        <x:v>0</x:v>
      </x:c>
      <x:c r="U322" s="21" t="n">
        <x:v>0</x:v>
      </x:c>
      <x:c r="V322" s="21" t="n">
        <x:v>0</x:v>
      </x:c>
      <x:c r="W322" s="21" t="n">
        <x:v>0</x:v>
      </x:c>
      <x:c r="X322" s="21" t="n">
        <x:v>0</x:v>
      </x:c>
      <x:c r="Y322" s="21" t="n">
        <x:v>0</x:v>
      </x:c>
      <x:c r="Z322" s="21" t="n">
        <x:v>0</x:v>
      </x:c>
      <x:c r="AA322" s="21" t="n">
        <x:v>0</x:v>
      </x:c>
      <x:c r="AB322" s="21" t="n">
        <x:v>0</x:v>
      </x:c>
      <x:c r="AC322" s="21" t="n">
        <x:v>0</x:v>
      </x:c>
      <x:c r="AD322" s="21" t="n">
        <x:v>0</x:v>
      </x:c>
      <x:c r="AE322" s="21" t="n">
        <x:v>0</x:v>
      </x:c>
      <x:c r="AF322" s="21" t="n">
        <x:v>0</x:v>
      </x:c>
      <x:c r="AG322" s="21" t="n">
        <x:v>2.606916243654823</x:v>
      </x:c>
      <x:c r="AH322" s="21" t="n">
        <x:v>1.2513197969543148</x:v>
      </x:c>
      <x:c r="AI322" s="21" t="n">
        <x:v>0.08342131979695433</x:v>
      </x:c>
      <x:c r="AJ322" s="21" t="n">
        <x:v>21</x:v>
      </x:c>
      <x:c r="AK322" s="21" t="n">
        <x:v>340</x:v>
      </x:c>
      <x:c r="AL322" s="21" t="n">
        <x:v>2.606916243654823</x:v>
      </x:c>
      <x:c r="AM322" s="21" t="n">
        <x:v>1</x:v>
      </x:c>
      <x:c r="AN322" s="21" t="n">
        <x:v>1</x:v>
      </x:c>
      <x:c r="AO322" s="21" t="n">
        <x:v>1</x:v>
      </x:c>
      <x:c r="AP322" s="21" t="n">
        <x:v>1</x:v>
      </x:c>
      <x:c r="AQ322" s="21" t="n">
        <x:v>0.99</x:v>
      </x:c>
      <x:c r="AR322" s="21" t="n">
        <x:v>1</x:v>
      </x:c>
      <x:c r="AS322" s="21" t="n">
        <x:v>1</x:v>
      </x:c>
      <x:c r="AT322" s="21" t="n">
        <x:v>1</x:v>
      </x:c>
      <x:c r="AU322" s="21" t="n">
        <x:v>0</x:v>
      </x:c>
      <x:c r="AV322" s="22" t="n">
        <x:f>IF(C322="QB",N322*0.04+O322*4-P322*2+R322*0.1+S322*6,IF(OR(C322="RB",C322="WR",C322="TE"),U322*0.1+V322*6+R322*0.1+S322*6+X322*0.5+Y322*0.1+Z322*6,IF(C322="K",AC322*3+AD322*4+AE322*5+AF322,IF(C322="DST",AG322+AH322*2+AI322*6+AL322,0))))</x:f>
        <x:v>8.217000000000002</x:v>
      </x:c>
      <x:c r="AW322" s="22" t="n">
        <x:f>(AV322+AU322)*G322</x:f>
        <x:v>8.217000000000002</x:v>
      </x:c>
      <x:c r="AX322" s="22" t="n">
        <x:f>MAX(0,AW322*IF(C322="QB",0.68,IF(C322="RB",0.58,IF(C322="WR",0.52,IF(C322="TE",0.50,IF(C322="K",0.55,0.40))))))</x:f>
        <x:v>3.2868000000000013</x:v>
      </x:c>
      <x:c r="AY322" s="22" t="n">
        <x:f>AW322*IF(C322="QB",1.32,IF(C322="RB",1.45,IF(C322="WR",1.55,IF(C322="TE",1.60,IF(C322="K",1.45,1.65)))))</x:f>
        <x:v>13.558050000000003</x:v>
      </x:c>
      <x:c r="AZ322" s="12" t="str">
        <x:v>High</x:v>
      </x:c>
      <x:c r="BA322" s="12" t="n">
        <x:v>2</x:v>
      </x:c>
      <x:c r="BB322" s="12" t="n">
        <x:f>COUNTIFS($C$2:$C$344,C322,$AW$2:$AW$344,"&gt;"&amp;AW322,$G$2:$G$344,"&gt;0")+COUNTIFS($C$2:C322,C322,$AW$2:AW322,AW322,$G$2:G322,"&gt;0")</x:f>
        <x:v>10</x:v>
      </x:c>
      <x:c r="BC322" s="12" t="n">
        <x:v>10</x:v>
      </x:c>
      <x:c r="BD322" s="12" t="str">
        <x:f>IF(BB322&lt;BC322,"↑",IF(BB322&gt;BC322,"↓","→"))</x:f>
        <x:v>→</x:v>
      </x:c>
      <x:c r="BE322" s="23" t="str">
        <x:v>Fantasy Football Brief ROS baseline; official NFL schedule</x:v>
      </x:c>
      <x:c r="BF322" s="23" t="str">
        <x:v>Current role and availability baseline; all adjustment factors shown numerically</x:v>
      </x:c>
      <x:c r="BG322" s="23" t="str">
        <x:v>Material injury, depth-chart, or role change</x:v>
      </x:c>
      <x:c r="BH322" s="24" t="str">
        <x:v>2026-09-23 10:35 CT</x:v>
      </x:c>
    </x:row>
    <x:row r="323">
      <x:c r="A323" s="12" t="str">
        <x:v>New England Patriots</x:v>
      </x:c>
      <x:c r="B323" s="12" t="str">
        <x:v>NE</x:v>
      </x:c>
      <x:c r="C323" s="12" t="str">
        <x:v>DST</x:v>
      </x:c>
      <x:c r="D323" s="12" t="str">
        <x:v>JAX</x:v>
      </x:c>
      <x:c r="E323" s="12" t="str">
        <x:v>Away</x:v>
      </x:c>
      <x:c r="F323" s="12" t="str">
        <x:v>2026-09-27</x:v>
      </x:c>
      <x:c r="G323" s="19" t="n">
        <x:v>1</x:v>
      </x:c>
      <x:c r="H323" s="20" t="str">
        <x:v>ACTIVE</x:v>
      </x:c>
      <x:c r="I323" s="20" t="n">
        <x:v>62</x:v>
      </x:c>
      <x:c r="J323" s="20" t="str">
        <x:v>Defensive snaps</x:v>
      </x:c>
      <x:c r="K323" s="20" t="n">
        <x:v>62</x:v>
      </x:c>
      <x:c r="L323" s="21" t="n">
        <x:v>0</x:v>
      </x:c>
      <x:c r="M323" s="21" t="n">
        <x:v>0</x:v>
      </x:c>
      <x:c r="N323" s="21" t="n">
        <x:v>0</x:v>
      </x:c>
      <x:c r="O323" s="21" t="n">
        <x:v>0</x:v>
      </x:c>
      <x:c r="P323" s="21" t="n">
        <x:v>0</x:v>
      </x:c>
      <x:c r="Q323" s="21" t="n">
        <x:v>0</x:v>
      </x:c>
      <x:c r="R323" s="21" t="n">
        <x:v>0</x:v>
      </x:c>
      <x:c r="S323" s="21" t="n">
        <x:v>0</x:v>
      </x:c>
      <x:c r="T323" s="21" t="n">
        <x:v>0</x:v>
      </x:c>
      <x:c r="U323" s="21" t="n">
        <x:v>0</x:v>
      </x:c>
      <x:c r="V323" s="21" t="n">
        <x:v>0</x:v>
      </x:c>
      <x:c r="W323" s="21" t="n">
        <x:v>0</x:v>
      </x:c>
      <x:c r="X323" s="21" t="n">
        <x:v>0</x:v>
      </x:c>
      <x:c r="Y323" s="21" t="n">
        <x:v>0</x:v>
      </x:c>
      <x:c r="Z323" s="21" t="n">
        <x:v>0</x:v>
      </x:c>
      <x:c r="AA323" s="21" t="n">
        <x:v>0</x:v>
      </x:c>
      <x:c r="AB323" s="21" t="n">
        <x:v>0</x:v>
      </x:c>
      <x:c r="AC323" s="21" t="n">
        <x:v>0</x:v>
      </x:c>
      <x:c r="AD323" s="21" t="n">
        <x:v>0</x:v>
      </x:c>
      <x:c r="AE323" s="21" t="n">
        <x:v>0</x:v>
      </x:c>
      <x:c r="AF323" s="21" t="n">
        <x:v>0</x:v>
      </x:c>
      <x:c r="AG323" s="21" t="n">
        <x:v>2.600482233502538</x:v>
      </x:c>
      <x:c r="AH323" s="21" t="n">
        <x:v>1.248231472081218</x:v>
      </x:c>
      <x:c r="AI323" s="21" t="n">
        <x:v>0.08321543147208121</x:v>
      </x:c>
      <x:c r="AJ323" s="21" t="n">
        <x:v>21</x:v>
      </x:c>
      <x:c r="AK323" s="21" t="n">
        <x:v>340</x:v>
      </x:c>
      <x:c r="AL323" s="21" t="n">
        <x:v>2.600482233502538</x:v>
      </x:c>
      <x:c r="AM323" s="21" t="n">
        <x:v>1</x:v>
      </x:c>
      <x:c r="AN323" s="21" t="n">
        <x:v>1</x:v>
      </x:c>
      <x:c r="AO323" s="21" t="n">
        <x:v>1</x:v>
      </x:c>
      <x:c r="AP323" s="21" t="n">
        <x:v>0.98</x:v>
      </x:c>
      <x:c r="AQ323" s="21" t="n">
        <x:v>1.02</x:v>
      </x:c>
      <x:c r="AR323" s="21" t="n">
        <x:v>1</x:v>
      </x:c>
      <x:c r="AS323" s="21" t="n">
        <x:v>1</x:v>
      </x:c>
      <x:c r="AT323" s="21" t="n">
        <x:v>1</x:v>
      </x:c>
      <x:c r="AU323" s="21" t="n">
        <x:v>0</x:v>
      </x:c>
      <x:c r="AV323" s="22" t="n">
        <x:f>IF(C323="QB",N323*0.04+O323*4-P323*2+R323*0.1+S323*6,IF(OR(C323="RB",C323="WR",C323="TE"),U323*0.1+V323*6+R323*0.1+S323*6+X323*0.5+Y323*0.1+Z323*6,IF(C323="K",AC323*3+AD323*4+AE323*5+AF323,IF(C323="DST",AG323+AH323*2+AI323*6+AL323,0))))</x:f>
        <x:v>8.19672</x:v>
      </x:c>
      <x:c r="AW323" s="22" t="n">
        <x:f>(AV323+AU323)*G323</x:f>
        <x:v>8.19672</x:v>
      </x:c>
      <x:c r="AX323" s="22" t="n">
        <x:f>MAX(0,AW323*IF(C323="QB",0.68,IF(C323="RB",0.58,IF(C323="WR",0.52,IF(C323="TE",0.50,IF(C323="K",0.55,0.40))))))</x:f>
        <x:v>3.278688</x:v>
      </x:c>
      <x:c r="AY323" s="22" t="n">
        <x:f>AW323*IF(C323="QB",1.32,IF(C323="RB",1.45,IF(C323="WR",1.55,IF(C323="TE",1.60,IF(C323="K",1.45,1.65)))))</x:f>
        <x:v>13.524587999999998</x:v>
      </x:c>
      <x:c r="AZ323" s="12" t="str">
        <x:v>High</x:v>
      </x:c>
      <x:c r="BA323" s="12" t="n">
        <x:v>2</x:v>
      </x:c>
      <x:c r="BB323" s="12" t="n">
        <x:f>COUNTIFS($C$2:$C$344,C323,$AW$2:$AW$344,"&gt;"&amp;AW323,$G$2:$G$344,"&gt;0")+COUNTIFS($C$2:C323,C323,$AW$2:AW323,AW323,$G$2:G323,"&gt;0")</x:f>
        <x:v>11</x:v>
      </x:c>
      <x:c r="BC323" s="12" t="n">
        <x:v>11</x:v>
      </x:c>
      <x:c r="BD323" s="12" t="str">
        <x:f>IF(BB323&lt;BC323,"↑",IF(BB323&gt;BC323,"↓","→"))</x:f>
        <x:v>→</x:v>
      </x:c>
      <x:c r="BE323" s="23" t="str">
        <x:v>Fantasy Football Brief ROS baseline; official NFL schedule</x:v>
      </x:c>
      <x:c r="BF323" s="23" t="str">
        <x:v>Current role and availability baseline; all adjustment factors shown numerically</x:v>
      </x:c>
      <x:c r="BG323" s="23" t="str">
        <x:v>Material injury, depth-chart, or role change</x:v>
      </x:c>
      <x:c r="BH323" s="24" t="str">
        <x:v>2026-09-23 10:35 CT</x:v>
      </x:c>
    </x:row>
    <x:row r="324">
      <x:c r="A324" s="12" t="str">
        <x:v>Green Bay Packers</x:v>
      </x:c>
      <x:c r="B324" s="12" t="str">
        <x:v>GB</x:v>
      </x:c>
      <x:c r="C324" s="12" t="str">
        <x:v>DST</x:v>
      </x:c>
      <x:c r="D324" s="12" t="str">
        <x:v>ATL</x:v>
      </x:c>
      <x:c r="E324" s="12" t="str">
        <x:v>Home</x:v>
      </x:c>
      <x:c r="F324" s="12" t="str">
        <x:v>2026-09-24</x:v>
      </x:c>
      <x:c r="G324" s="19" t="n">
        <x:v>1</x:v>
      </x:c>
      <x:c r="H324" s="20" t="str">
        <x:v>ACTIVE</x:v>
      </x:c>
      <x:c r="I324" s="20" t="n">
        <x:v>62</x:v>
      </x:c>
      <x:c r="J324" s="20" t="str">
        <x:v>Defensive snaps</x:v>
      </x:c>
      <x:c r="K324" s="20" t="n">
        <x:v>62</x:v>
      </x:c>
      <x:c r="L324" s="21" t="n">
        <x:v>0</x:v>
      </x:c>
      <x:c r="M324" s="21" t="n">
        <x:v>0</x:v>
      </x:c>
      <x:c r="N324" s="21" t="n">
        <x:v>0</x:v>
      </x:c>
      <x:c r="O324" s="21" t="n">
        <x:v>0</x:v>
      </x:c>
      <x:c r="P324" s="21" t="n">
        <x:v>0</x:v>
      </x:c>
      <x:c r="Q324" s="21" t="n">
        <x:v>0</x:v>
      </x:c>
      <x:c r="R324" s="21" t="n">
        <x:v>0</x:v>
      </x:c>
      <x:c r="S324" s="21" t="n">
        <x:v>0</x:v>
      </x:c>
      <x:c r="T324" s="21" t="n">
        <x:v>0</x:v>
      </x:c>
      <x:c r="U324" s="21" t="n">
        <x:v>0</x:v>
      </x:c>
      <x:c r="V324" s="21" t="n">
        <x:v>0</x:v>
      </x:c>
      <x:c r="W324" s="21" t="n">
        <x:v>0</x:v>
      </x:c>
      <x:c r="X324" s="21" t="n">
        <x:v>0</x:v>
      </x:c>
      <x:c r="Y324" s="21" t="n">
        <x:v>0</x:v>
      </x:c>
      <x:c r="Z324" s="21" t="n">
        <x:v>0</x:v>
      </x:c>
      <x:c r="AA324" s="21" t="n">
        <x:v>0</x:v>
      </x:c>
      <x:c r="AB324" s="21" t="n">
        <x:v>0</x:v>
      </x:c>
      <x:c r="AC324" s="21" t="n">
        <x:v>0</x:v>
      </x:c>
      <x:c r="AD324" s="21" t="n">
        <x:v>0</x:v>
      </x:c>
      <x:c r="AE324" s="21" t="n">
        <x:v>0</x:v>
      </x:c>
      <x:c r="AF324" s="21" t="n">
        <x:v>0</x:v>
      </x:c>
      <x:c r="AG324" s="21" t="n">
        <x:v>2.5888324873096447</x:v>
      </x:c>
      <x:c r="AH324" s="21" t="n">
        <x:v>1.2426395939086294</x:v>
      </x:c>
      <x:c r="AI324" s="21" t="n">
        <x:v>0.08284263959390863</x:v>
      </x:c>
      <x:c r="AJ324" s="21" t="n">
        <x:v>21</x:v>
      </x:c>
      <x:c r="AK324" s="21" t="n">
        <x:v>340</x:v>
      </x:c>
      <x:c r="AL324" s="21" t="n">
        <x:v>2.5888324873096447</x:v>
      </x:c>
      <x:c r="AM324" s="21" t="n">
        <x:v>1</x:v>
      </x:c>
      <x:c r="AN324" s="21" t="n">
        <x:v>1</x:v>
      </x:c>
      <x:c r="AO324" s="21" t="n">
        <x:v>1</x:v>
      </x:c>
      <x:c r="AP324" s="21" t="n">
        <x:v>1.02</x:v>
      </x:c>
      <x:c r="AQ324" s="21" t="n">
        <x:v>1</x:v>
      </x:c>
      <x:c r="AR324" s="21" t="n">
        <x:v>1</x:v>
      </x:c>
      <x:c r="AS324" s="21" t="n">
        <x:v>1</x:v>
      </x:c>
      <x:c r="AT324" s="21" t="n">
        <x:v>1</x:v>
      </x:c>
      <x:c r="AU324" s="21" t="n">
        <x:v>0</x:v>
      </x:c>
      <x:c r="AV324" s="22" t="n">
        <x:f>IF(C324="QB",N324*0.04+O324*4-P324*2+R324*0.1+S324*6,IF(OR(C324="RB",C324="WR",C324="TE"),U324*0.1+V324*6+R324*0.1+S324*6+X324*0.5+Y324*0.1+Z324*6,IF(C324="K",AC324*3+AD324*4+AE324*5+AF324,IF(C324="DST",AG324+AH324*2+AI324*6+AL324,0))))</x:f>
        <x:v>8.16</x:v>
      </x:c>
      <x:c r="AW324" s="22" t="n">
        <x:f>(AV324+AU324)*G324</x:f>
        <x:v>8.16</x:v>
      </x:c>
      <x:c r="AX324" s="22" t="n">
        <x:f>MAX(0,AW324*IF(C324="QB",0.68,IF(C324="RB",0.58,IF(C324="WR",0.52,IF(C324="TE",0.50,IF(C324="K",0.55,0.40))))))</x:f>
        <x:v>3.2640000000000002</x:v>
      </x:c>
      <x:c r="AY324" s="22" t="n">
        <x:f>AW324*IF(C324="QB",1.32,IF(C324="RB",1.45,IF(C324="WR",1.55,IF(C324="TE",1.60,IF(C324="K",1.45,1.65)))))</x:f>
        <x:v>13.463999999999999</x:v>
      </x:c>
      <x:c r="AZ324" s="12" t="str">
        <x:v>High</x:v>
      </x:c>
      <x:c r="BA324" s="12" t="n">
        <x:v>2</x:v>
      </x:c>
      <x:c r="BB324" s="12" t="n">
        <x:f>COUNTIFS($C$2:$C$344,C324,$AW$2:$AW$344,"&gt;"&amp;AW324,$G$2:$G$344,"&gt;0")+COUNTIFS($C$2:C324,C324,$AW$2:AW324,AW324,$G$2:G324,"&gt;0")</x:f>
        <x:v>12</x:v>
      </x:c>
      <x:c r="BC324" s="12" t="n">
        <x:v>12</x:v>
      </x:c>
      <x:c r="BD324" s="12" t="str">
        <x:f>IF(BB324&lt;BC324,"↑",IF(BB324&gt;BC324,"↓","→"))</x:f>
        <x:v>→</x:v>
      </x:c>
      <x:c r="BE324" s="23" t="str">
        <x:v>Fantasy Football Brief ROS baseline; official NFL schedule</x:v>
      </x:c>
      <x:c r="BF324" s="23" t="str">
        <x:v>Current role and availability baseline; all adjustment factors shown numerically</x:v>
      </x:c>
      <x:c r="BG324" s="23" t="str">
        <x:v>Material injury, depth-chart, or role change</x:v>
      </x:c>
      <x:c r="BH324" s="24" t="str">
        <x:v>2026-09-23 10:35 CT</x:v>
      </x:c>
    </x:row>
    <x:row r="325">
      <x:c r="A325" s="12" t="str">
        <x:v>San Francisco 49ers</x:v>
      </x:c>
      <x:c r="B325" s="12" t="str">
        <x:v>SF</x:v>
      </x:c>
      <x:c r="C325" s="12" t="str">
        <x:v>DST</x:v>
      </x:c>
      <x:c r="D325" s="12" t="str">
        <x:v>ARI</x:v>
      </x:c>
      <x:c r="E325" s="12" t="str">
        <x:v>Home</x:v>
      </x:c>
      <x:c r="F325" s="12" t="str">
        <x:v>2026-09-27</x:v>
      </x:c>
      <x:c r="G325" s="19" t="n">
        <x:v>1</x:v>
      </x:c>
      <x:c r="H325" s="20" t="str">
        <x:v>ACTIVE</x:v>
      </x:c>
      <x:c r="I325" s="20" t="n">
        <x:v>62</x:v>
      </x:c>
      <x:c r="J325" s="20" t="str">
        <x:v>Defensive snaps</x:v>
      </x:c>
      <x:c r="K325" s="20" t="n">
        <x:v>62</x:v>
      </x:c>
      <x:c r="L325" s="21" t="n">
        <x:v>0</x:v>
      </x:c>
      <x:c r="M325" s="21" t="n">
        <x:v>0</x:v>
      </x:c>
      <x:c r="N325" s="21" t="n">
        <x:v>0</x:v>
      </x:c>
      <x:c r="O325" s="21" t="n">
        <x:v>0</x:v>
      </x:c>
      <x:c r="P325" s="21" t="n">
        <x:v>0</x:v>
      </x:c>
      <x:c r="Q325" s="21" t="n">
        <x:v>0</x:v>
      </x:c>
      <x:c r="R325" s="21" t="n">
        <x:v>0</x:v>
      </x:c>
      <x:c r="S325" s="21" t="n">
        <x:v>0</x:v>
      </x:c>
      <x:c r="T325" s="21" t="n">
        <x:v>0</x:v>
      </x:c>
      <x:c r="U325" s="21" t="n">
        <x:v>0</x:v>
      </x:c>
      <x:c r="V325" s="21" t="n">
        <x:v>0</x:v>
      </x:c>
      <x:c r="W325" s="21" t="n">
        <x:v>0</x:v>
      </x:c>
      <x:c r="X325" s="21" t="n">
        <x:v>0</x:v>
      </x:c>
      <x:c r="Y325" s="21" t="n">
        <x:v>0</x:v>
      </x:c>
      <x:c r="Z325" s="21" t="n">
        <x:v>0</x:v>
      </x:c>
      <x:c r="AA325" s="21" t="n">
        <x:v>0</x:v>
      </x:c>
      <x:c r="AB325" s="21" t="n">
        <x:v>0</x:v>
      </x:c>
      <x:c r="AC325" s="21" t="n">
        <x:v>0</x:v>
      </x:c>
      <x:c r="AD325" s="21" t="n">
        <x:v>0</x:v>
      </x:c>
      <x:c r="AE325" s="21" t="n">
        <x:v>0</x:v>
      </x:c>
      <x:c r="AF325" s="21" t="n">
        <x:v>0</x:v>
      </x:c>
      <x:c r="AG325" s="21" t="n">
        <x:v>2.5888324873096447</x:v>
      </x:c>
      <x:c r="AH325" s="21" t="n">
        <x:v>1.2426395939086294</x:v>
      </x:c>
      <x:c r="AI325" s="21" t="n">
        <x:v>0.08284263959390863</x:v>
      </x:c>
      <x:c r="AJ325" s="21" t="n">
        <x:v>21</x:v>
      </x:c>
      <x:c r="AK325" s="21" t="n">
        <x:v>340</x:v>
      </x:c>
      <x:c r="AL325" s="21" t="n">
        <x:v>2.5888324873096447</x:v>
      </x:c>
      <x:c r="AM325" s="21" t="n">
        <x:v>1</x:v>
      </x:c>
      <x:c r="AN325" s="21" t="n">
        <x:v>1</x:v>
      </x:c>
      <x:c r="AO325" s="21" t="n">
        <x:v>1</x:v>
      </x:c>
      <x:c r="AP325" s="21" t="n">
        <x:v>1.02</x:v>
      </x:c>
      <x:c r="AQ325" s="21" t="n">
        <x:v>1</x:v>
      </x:c>
      <x:c r="AR325" s="21" t="n">
        <x:v>1</x:v>
      </x:c>
      <x:c r="AS325" s="21" t="n">
        <x:v>1</x:v>
      </x:c>
      <x:c r="AT325" s="21" t="n">
        <x:v>1</x:v>
      </x:c>
      <x:c r="AU325" s="21" t="n">
        <x:v>0</x:v>
      </x:c>
      <x:c r="AV325" s="22" t="n">
        <x:f>IF(C325="QB",N325*0.04+O325*4-P325*2+R325*0.1+S325*6,IF(OR(C325="RB",C325="WR",C325="TE"),U325*0.1+V325*6+R325*0.1+S325*6+X325*0.5+Y325*0.1+Z325*6,IF(C325="K",AC325*3+AD325*4+AE325*5+AF325,IF(C325="DST",AG325+AH325*2+AI325*6+AL325,0))))</x:f>
        <x:v>8.16</x:v>
      </x:c>
      <x:c r="AW325" s="22" t="n">
        <x:f>(AV325+AU325)*G325</x:f>
        <x:v>8.16</x:v>
      </x:c>
      <x:c r="AX325" s="22" t="n">
        <x:f>MAX(0,AW325*IF(C325="QB",0.68,IF(C325="RB",0.58,IF(C325="WR",0.52,IF(C325="TE",0.50,IF(C325="K",0.55,0.40))))))</x:f>
        <x:v>3.2640000000000002</x:v>
      </x:c>
      <x:c r="AY325" s="22" t="n">
        <x:f>AW325*IF(C325="QB",1.32,IF(C325="RB",1.45,IF(C325="WR",1.55,IF(C325="TE",1.60,IF(C325="K",1.45,1.65)))))</x:f>
        <x:v>13.463999999999999</x:v>
      </x:c>
      <x:c r="AZ325" s="12" t="str">
        <x:v>High</x:v>
      </x:c>
      <x:c r="BA325" s="12" t="n">
        <x:v>2</x:v>
      </x:c>
      <x:c r="BB325" s="12" t="n">
        <x:f>COUNTIFS($C$2:$C$344,C325,$AW$2:$AW$344,"&gt;"&amp;AW325,$G$2:$G$344,"&gt;0")+COUNTIFS($C$2:C325,C325,$AW$2:AW325,AW325,$G$2:G325,"&gt;0")</x:f>
        <x:v>13</x:v>
      </x:c>
      <x:c r="BC325" s="12" t="n">
        <x:v>13</x:v>
      </x:c>
      <x:c r="BD325" s="12" t="str">
        <x:f>IF(BB325&lt;BC325,"↑",IF(BB325&gt;BC325,"↓","→"))</x:f>
        <x:v>→</x:v>
      </x:c>
      <x:c r="BE325" s="23" t="str">
        <x:v>Fantasy Football Brief ROS baseline; official NFL schedule</x:v>
      </x:c>
      <x:c r="BF325" s="23" t="str">
        <x:v>Current role and availability baseline; all adjustment factors shown numerically</x:v>
      </x:c>
      <x:c r="BG325" s="23" t="str">
        <x:v>Material injury, depth-chart, or role change</x:v>
      </x:c>
      <x:c r="BH325" s="24" t="str">
        <x:v>2026-09-23 10:35 CT</x:v>
      </x:c>
    </x:row>
    <x:row r="326">
      <x:c r="A326" s="12" t="str">
        <x:v>Pittsburgh Steelers</x:v>
      </x:c>
      <x:c r="B326" s="12" t="str">
        <x:v>PIT</x:v>
      </x:c>
      <x:c r="C326" s="12" t="str">
        <x:v>DST</x:v>
      </x:c>
      <x:c r="D326" s="12" t="str">
        <x:v>CIN</x:v>
      </x:c>
      <x:c r="E326" s="12" t="str">
        <x:v>Home</x:v>
      </x:c>
      <x:c r="F326" s="12" t="str">
        <x:v>2026-09-27</x:v>
      </x:c>
      <x:c r="G326" s="19" t="n">
        <x:v>1</x:v>
      </x:c>
      <x:c r="H326" s="20" t="str">
        <x:v>ACTIVE</x:v>
      </x:c>
      <x:c r="I326" s="20" t="n">
        <x:v>62</x:v>
      </x:c>
      <x:c r="J326" s="20" t="str">
        <x:v>Defensive snaps</x:v>
      </x:c>
      <x:c r="K326" s="20" t="n">
        <x:v>62</x:v>
      </x:c>
      <x:c r="L326" s="21" t="n">
        <x:v>0</x:v>
      </x:c>
      <x:c r="M326" s="21" t="n">
        <x:v>0</x:v>
      </x:c>
      <x:c r="N326" s="21" t="n">
        <x:v>0</x:v>
      </x:c>
      <x:c r="O326" s="21" t="n">
        <x:v>0</x:v>
      </x:c>
      <x:c r="P326" s="21" t="n">
        <x:v>0</x:v>
      </x:c>
      <x:c r="Q326" s="21" t="n">
        <x:v>0</x:v>
      </x:c>
      <x:c r="R326" s="21" t="n">
        <x:v>0</x:v>
      </x:c>
      <x:c r="S326" s="21" t="n">
        <x:v>0</x:v>
      </x:c>
      <x:c r="T326" s="21" t="n">
        <x:v>0</x:v>
      </x:c>
      <x:c r="U326" s="21" t="n">
        <x:v>0</x:v>
      </x:c>
      <x:c r="V326" s="21" t="n">
        <x:v>0</x:v>
      </x:c>
      <x:c r="W326" s="21" t="n">
        <x:v>0</x:v>
      </x:c>
      <x:c r="X326" s="21" t="n">
        <x:v>0</x:v>
      </x:c>
      <x:c r="Y326" s="21" t="n">
        <x:v>0</x:v>
      </x:c>
      <x:c r="Z326" s="21" t="n">
        <x:v>0</x:v>
      </x:c>
      <x:c r="AA326" s="21" t="n">
        <x:v>0</x:v>
      </x:c>
      <x:c r="AB326" s="21" t="n">
        <x:v>0</x:v>
      </x:c>
      <x:c r="AC326" s="21" t="n">
        <x:v>0</x:v>
      </x:c>
      <x:c r="AD326" s="21" t="n">
        <x:v>0</x:v>
      </x:c>
      <x:c r="AE326" s="21" t="n">
        <x:v>0</x:v>
      </x:c>
      <x:c r="AF326" s="21" t="n">
        <x:v>0</x:v>
      </x:c>
      <x:c r="AG326" s="21" t="n">
        <x:v>2.5755076142131976</x:v>
      </x:c>
      <x:c r="AH326" s="21" t="n">
        <x:v>1.2362436548223348</x:v>
      </x:c>
      <x:c r="AI326" s="21" t="n">
        <x:v>0.08241624365482234</x:v>
      </x:c>
      <x:c r="AJ326" s="21" t="n">
        <x:v>21</x:v>
      </x:c>
      <x:c r="AK326" s="21" t="n">
        <x:v>340</x:v>
      </x:c>
      <x:c r="AL326" s="21" t="n">
        <x:v>2.5755076142131976</x:v>
      </x:c>
      <x:c r="AM326" s="21" t="n">
        <x:v>1</x:v>
      </x:c>
      <x:c r="AN326" s="21" t="n">
        <x:v>1</x:v>
      </x:c>
      <x:c r="AO326" s="21" t="n">
        <x:v>1</x:v>
      </x:c>
      <x:c r="AP326" s="21" t="n">
        <x:v>0.99</x:v>
      </x:c>
      <x:c r="AQ326" s="21" t="n">
        <x:v>1</x:v>
      </x:c>
      <x:c r="AR326" s="21" t="n">
        <x:v>1</x:v>
      </x:c>
      <x:c r="AS326" s="21" t="n">
        <x:v>1</x:v>
      </x:c>
      <x:c r="AT326" s="21" t="n">
        <x:v>1</x:v>
      </x:c>
      <x:c r="AU326" s="21" t="n">
        <x:v>0</x:v>
      </x:c>
      <x:c r="AV326" s="22" t="n">
        <x:f>IF(C326="QB",N326*0.04+O326*4-P326*2+R326*0.1+S326*6,IF(OR(C326="RB",C326="WR",C326="TE"),U326*0.1+V326*6+R326*0.1+S326*6+X326*0.5+Y326*0.1+Z326*6,IF(C326="K",AC326*3+AD326*4+AE326*5+AF326,IF(C326="DST",AG326+AH326*2+AI326*6+AL326,0))))</x:f>
        <x:v>8.117999999999999</x:v>
      </x:c>
      <x:c r="AW326" s="22" t="n">
        <x:f>(AV326+AU326)*G326</x:f>
        <x:v>8.117999999999999</x:v>
      </x:c>
      <x:c r="AX326" s="22" t="n">
        <x:f>MAX(0,AW326*IF(C326="QB",0.68,IF(C326="RB",0.58,IF(C326="WR",0.52,IF(C326="TE",0.50,IF(C326="K",0.55,0.40))))))</x:f>
        <x:v>3.2471999999999994</x:v>
      </x:c>
      <x:c r="AY326" s="22" t="n">
        <x:f>AW326*IF(C326="QB",1.32,IF(C326="RB",1.45,IF(C326="WR",1.55,IF(C326="TE",1.60,IF(C326="K",1.45,1.65)))))</x:f>
        <x:v>13.394699999999997</x:v>
      </x:c>
      <x:c r="AZ326" s="12" t="str">
        <x:v>High</x:v>
      </x:c>
      <x:c r="BA326" s="12" t="n">
        <x:v>2</x:v>
      </x:c>
      <x:c r="BB326" s="12" t="n">
        <x:f>COUNTIFS($C$2:$C$344,C326,$AW$2:$AW$344,"&gt;"&amp;AW326,$G$2:$G$344,"&gt;0")+COUNTIFS($C$2:C326,C326,$AW$2:AW326,AW326,$G$2:G326,"&gt;0")</x:f>
        <x:v>14</x:v>
      </x:c>
      <x:c r="BC326" s="12" t="n">
        <x:v>14</x:v>
      </x:c>
      <x:c r="BD326" s="12" t="str">
        <x:f>IF(BB326&lt;BC326,"↑",IF(BB326&gt;BC326,"↓","→"))</x:f>
        <x:v>→</x:v>
      </x:c>
      <x:c r="BE326" s="23" t="str">
        <x:v>Fantasy Football Brief ROS baseline; official NFL schedule</x:v>
      </x:c>
      <x:c r="BF326" s="23" t="str">
        <x:v>Current role and availability baseline; all adjustment factors shown numerically</x:v>
      </x:c>
      <x:c r="BG326" s="23" t="str">
        <x:v>Material injury, depth-chart, or role change</x:v>
      </x:c>
      <x:c r="BH326" s="24" t="str">
        <x:v>2026-09-23 10:35 CT</x:v>
      </x:c>
    </x:row>
    <x:row r="327">
      <x:c r="A327" s="12" t="str">
        <x:v>Buffalo Bills</x:v>
      </x:c>
      <x:c r="B327" s="12" t="str">
        <x:v>BUF</x:v>
      </x:c>
      <x:c r="C327" s="12" t="str">
        <x:v>DST</x:v>
      </x:c>
      <x:c r="D327" s="12" t="str">
        <x:v>LAC</x:v>
      </x:c>
      <x:c r="E327" s="12" t="str">
        <x:v>Home</x:v>
      </x:c>
      <x:c r="F327" s="12" t="str">
        <x:v>2026-09-27</x:v>
      </x:c>
      <x:c r="G327" s="19" t="n">
        <x:v>1</x:v>
      </x:c>
      <x:c r="H327" s="20" t="str">
        <x:v>ACTIVE</x:v>
      </x:c>
      <x:c r="I327" s="20" t="n">
        <x:v>62</x:v>
      </x:c>
      <x:c r="J327" s="20" t="str">
        <x:v>Defensive snaps</x:v>
      </x:c>
      <x:c r="K327" s="20" t="n">
        <x:v>62</x:v>
      </x:c>
      <x:c r="L327" s="21" t="n">
        <x:v>0</x:v>
      </x:c>
      <x:c r="M327" s="21" t="n">
        <x:v>0</x:v>
      </x:c>
      <x:c r="N327" s="21" t="n">
        <x:v>0</x:v>
      </x:c>
      <x:c r="O327" s="21" t="n">
        <x:v>0</x:v>
      </x:c>
      <x:c r="P327" s="21" t="n">
        <x:v>0</x:v>
      </x:c>
      <x:c r="Q327" s="21" t="n">
        <x:v>0</x:v>
      </x:c>
      <x:c r="R327" s="21" t="n">
        <x:v>0</x:v>
      </x:c>
      <x:c r="S327" s="21" t="n">
        <x:v>0</x:v>
      </x:c>
      <x:c r="T327" s="21" t="n">
        <x:v>0</x:v>
      </x:c>
      <x:c r="U327" s="21" t="n">
        <x:v>0</x:v>
      </x:c>
      <x:c r="V327" s="21" t="n">
        <x:v>0</x:v>
      </x:c>
      <x:c r="W327" s="21" t="n">
        <x:v>0</x:v>
      </x:c>
      <x:c r="X327" s="21" t="n">
        <x:v>0</x:v>
      </x:c>
      <x:c r="Y327" s="21" t="n">
        <x:v>0</x:v>
      </x:c>
      <x:c r="Z327" s="21" t="n">
        <x:v>0</x:v>
      </x:c>
      <x:c r="AA327" s="21" t="n">
        <x:v>0</x:v>
      </x:c>
      <x:c r="AB327" s="21" t="n">
        <x:v>0</x:v>
      </x:c>
      <x:c r="AC327" s="21" t="n">
        <x:v>0</x:v>
      </x:c>
      <x:c r="AD327" s="21" t="n">
        <x:v>0</x:v>
      </x:c>
      <x:c r="AE327" s="21" t="n">
        <x:v>0</x:v>
      </x:c>
      <x:c r="AF327" s="21" t="n">
        <x:v>0</x:v>
      </x:c>
      <x:c r="AG327" s="21" t="n">
        <x:v>2.5544670050761424</x:v>
      </x:c>
      <x:c r="AH327" s="21" t="n">
        <x:v>1.2261441624365483</x:v>
      </x:c>
      <x:c r="AI327" s="21" t="n">
        <x:v>0.08174294416243656</x:v>
      </x:c>
      <x:c r="AJ327" s="21" t="n">
        <x:v>21</x:v>
      </x:c>
      <x:c r="AK327" s="21" t="n">
        <x:v>340</x:v>
      </x:c>
      <x:c r="AL327" s="21" t="n">
        <x:v>2.5544670050761424</x:v>
      </x:c>
      <x:c r="AM327" s="21" t="n">
        <x:v>1</x:v>
      </x:c>
      <x:c r="AN327" s="21" t="n">
        <x:v>1</x:v>
      </x:c>
      <x:c r="AO327" s="21" t="n">
        <x:v>1</x:v>
      </x:c>
      <x:c r="AP327" s="21" t="n">
        <x:v>1.04</x:v>
      </x:c>
      <x:c r="AQ327" s="21" t="n">
        <x:v>0.98</x:v>
      </x:c>
      <x:c r="AR327" s="21" t="n">
        <x:v>1</x:v>
      </x:c>
      <x:c r="AS327" s="21" t="n">
        <x:v>1</x:v>
      </x:c>
      <x:c r="AT327" s="21" t="n">
        <x:v>1</x:v>
      </x:c>
      <x:c r="AU327" s="21" t="n">
        <x:v>0</x:v>
      </x:c>
      <x:c r="AV327" s="22" t="n">
        <x:f>IF(C327="QB",N327*0.04+O327*4-P327*2+R327*0.1+S327*6,IF(OR(C327="RB",C327="WR",C327="TE"),U327*0.1+V327*6+R327*0.1+S327*6+X327*0.5+Y327*0.1+Z327*6,IF(C327="K",AC327*3+AD327*4+AE327*5+AF327,IF(C327="DST",AG327+AH327*2+AI327*6+AL327,0))))</x:f>
        <x:v>8.051680000000001</x:v>
      </x:c>
      <x:c r="AW327" s="22" t="n">
        <x:f>(AV327+AU327)*G327</x:f>
        <x:v>8.051680000000001</x:v>
      </x:c>
      <x:c r="AX327" s="22" t="n">
        <x:f>MAX(0,AW327*IF(C327="QB",0.68,IF(C327="RB",0.58,IF(C327="WR",0.52,IF(C327="TE",0.50,IF(C327="K",0.55,0.40))))))</x:f>
        <x:v>3.2206720000000004</x:v>
      </x:c>
      <x:c r="AY327" s="22" t="n">
        <x:f>AW327*IF(C327="QB",1.32,IF(C327="RB",1.45,IF(C327="WR",1.55,IF(C327="TE",1.60,IF(C327="K",1.45,1.65)))))</x:f>
        <x:v>13.285272</x:v>
      </x:c>
      <x:c r="AZ327" s="12" t="str">
        <x:v>High</x:v>
      </x:c>
      <x:c r="BA327" s="12" t="n">
        <x:v>2</x:v>
      </x:c>
      <x:c r="BB327" s="12" t="n">
        <x:f>COUNTIFS($C$2:$C$344,C327,$AW$2:$AW$344,"&gt;"&amp;AW327,$G$2:$G$344,"&gt;0")+COUNTIFS($C$2:C327,C327,$AW$2:AW327,AW327,$G$2:G327,"&gt;0")</x:f>
        <x:v>15</x:v>
      </x:c>
      <x:c r="BC327" s="12" t="n">
        <x:v>15</x:v>
      </x:c>
      <x:c r="BD327" s="12" t="str">
        <x:f>IF(BB327&lt;BC327,"↑",IF(BB327&gt;BC327,"↓","→"))</x:f>
        <x:v>→</x:v>
      </x:c>
      <x:c r="BE327" s="23" t="str">
        <x:v>Fantasy Football Brief ROS baseline; official NFL schedule</x:v>
      </x:c>
      <x:c r="BF327" s="23" t="str">
        <x:v>Current role and availability baseline; all adjustment factors shown numerically</x:v>
      </x:c>
      <x:c r="BG327" s="23" t="str">
        <x:v>Material injury, depth-chart, or role change</x:v>
      </x:c>
      <x:c r="BH327" s="24" t="str">
        <x:v>2026-09-23 10:35 CT</x:v>
      </x:c>
    </x:row>
    <x:row r="328">
      <x:c r="A328" s="12" t="str">
        <x:v>Denver Broncos</x:v>
      </x:c>
      <x:c r="B328" s="12" t="str">
        <x:v>DEN</x:v>
      </x:c>
      <x:c r="C328" s="12" t="str">
        <x:v>DST</x:v>
      </x:c>
      <x:c r="D328" s="12" t="str">
        <x:v>LAR</x:v>
      </x:c>
      <x:c r="E328" s="12" t="str">
        <x:v>Home</x:v>
      </x:c>
      <x:c r="F328" s="12" t="str">
        <x:v>2026-09-27</x:v>
      </x:c>
      <x:c r="G328" s="19" t="n">
        <x:v>1</x:v>
      </x:c>
      <x:c r="H328" s="20" t="str">
        <x:v>ACTIVE</x:v>
      </x:c>
      <x:c r="I328" s="20" t="n">
        <x:v>62</x:v>
      </x:c>
      <x:c r="J328" s="20" t="str">
        <x:v>Defensive snaps</x:v>
      </x:c>
      <x:c r="K328" s="20" t="n">
        <x:v>62</x:v>
      </x:c>
      <x:c r="L328" s="21" t="n">
        <x:v>0</x:v>
      </x:c>
      <x:c r="M328" s="21" t="n">
        <x:v>0</x:v>
      </x:c>
      <x:c r="N328" s="21" t="n">
        <x:v>0</x:v>
      </x:c>
      <x:c r="O328" s="21" t="n">
        <x:v>0</x:v>
      </x:c>
      <x:c r="P328" s="21" t="n">
        <x:v>0</x:v>
      </x:c>
      <x:c r="Q328" s="21" t="n">
        <x:v>0</x:v>
      </x:c>
      <x:c r="R328" s="21" t="n">
        <x:v>0</x:v>
      </x:c>
      <x:c r="S328" s="21" t="n">
        <x:v>0</x:v>
      </x:c>
      <x:c r="T328" s="21" t="n">
        <x:v>0</x:v>
      </x:c>
      <x:c r="U328" s="21" t="n">
        <x:v>0</x:v>
      </x:c>
      <x:c r="V328" s="21" t="n">
        <x:v>0</x:v>
      </x:c>
      <x:c r="W328" s="21" t="n">
        <x:v>0</x:v>
      </x:c>
      <x:c r="X328" s="21" t="n">
        <x:v>0</x:v>
      </x:c>
      <x:c r="Y328" s="21" t="n">
        <x:v>0</x:v>
      </x:c>
      <x:c r="Z328" s="21" t="n">
        <x:v>0</x:v>
      </x:c>
      <x:c r="AA328" s="21" t="n">
        <x:v>0</x:v>
      </x:c>
      <x:c r="AB328" s="21" t="n">
        <x:v>0</x:v>
      </x:c>
      <x:c r="AC328" s="21" t="n">
        <x:v>0</x:v>
      </x:c>
      <x:c r="AD328" s="21" t="n">
        <x:v>0</x:v>
      </x:c>
      <x:c r="AE328" s="21" t="n">
        <x:v>0</x:v>
      </x:c>
      <x:c r="AF328" s="21" t="n">
        <x:v>0</x:v>
      </x:c>
      <x:c r="AG328" s="21" t="n">
        <x:v>2.549492385786802</x:v>
      </x:c>
      <x:c r="AH328" s="21" t="n">
        <x:v>1.2237563451776647</x:v>
      </x:c>
      <x:c r="AI328" s="21" t="n">
        <x:v>0.08158375634517766</x:v>
      </x:c>
      <x:c r="AJ328" s="21" t="n">
        <x:v>21</x:v>
      </x:c>
      <x:c r="AK328" s="21" t="n">
        <x:v>340</x:v>
      </x:c>
      <x:c r="AL328" s="21" t="n">
        <x:v>2.549492385786802</x:v>
      </x:c>
      <x:c r="AM328" s="21" t="n">
        <x:v>1</x:v>
      </x:c>
      <x:c r="AN328" s="21" t="n">
        <x:v>1</x:v>
      </x:c>
      <x:c r="AO328" s="21" t="n">
        <x:v>1</x:v>
      </x:c>
      <x:c r="AP328" s="21" t="n">
        <x:v>1</x:v>
      </x:c>
      <x:c r="AQ328" s="21" t="n">
        <x:v>0.98</x:v>
      </x:c>
      <x:c r="AR328" s="21" t="n">
        <x:v>1</x:v>
      </x:c>
      <x:c r="AS328" s="21" t="n">
        <x:v>1</x:v>
      </x:c>
      <x:c r="AT328" s="21" t="n">
        <x:v>1</x:v>
      </x:c>
      <x:c r="AU328" s="21" t="n">
        <x:v>0</x:v>
      </x:c>
      <x:c r="AV328" s="22" t="n">
        <x:f>IF(C328="QB",N328*0.04+O328*4-P328*2+R328*0.1+S328*6,IF(OR(C328="RB",C328="WR",C328="TE"),U328*0.1+V328*6+R328*0.1+S328*6+X328*0.5+Y328*0.1+Z328*6,IF(C328="K",AC328*3+AD328*4+AE328*5+AF328,IF(C328="DST",AG328+AH328*2+AI328*6+AL328,0))))</x:f>
        <x:v>8.036</x:v>
      </x:c>
      <x:c r="AW328" s="22" t="n">
        <x:f>(AV328+AU328)*G328</x:f>
        <x:v>8.036</x:v>
      </x:c>
      <x:c r="AX328" s="22" t="n">
        <x:f>MAX(0,AW328*IF(C328="QB",0.68,IF(C328="RB",0.58,IF(C328="WR",0.52,IF(C328="TE",0.50,IF(C328="K",0.55,0.40))))))</x:f>
        <x:v>3.2144</x:v>
      </x:c>
      <x:c r="AY328" s="22" t="n">
        <x:f>AW328*IF(C328="QB",1.32,IF(C328="RB",1.45,IF(C328="WR",1.55,IF(C328="TE",1.60,IF(C328="K",1.45,1.65)))))</x:f>
        <x:v>13.2594</x:v>
      </x:c>
      <x:c r="AZ328" s="12" t="str">
        <x:v>High</x:v>
      </x:c>
      <x:c r="BA328" s="12" t="n">
        <x:v>2</x:v>
      </x:c>
      <x:c r="BB328" s="12" t="n">
        <x:f>COUNTIFS($C$2:$C$344,C328,$AW$2:$AW$344,"&gt;"&amp;AW328,$G$2:$G$344,"&gt;0")+COUNTIFS($C$2:C328,C328,$AW$2:AW328,AW328,$G$2:G328,"&gt;0")</x:f>
        <x:v>16</x:v>
      </x:c>
      <x:c r="BC328" s="12" t="n">
        <x:v>16</x:v>
      </x:c>
      <x:c r="BD328" s="12" t="str">
        <x:f>IF(BB328&lt;BC328,"↑",IF(BB328&gt;BC328,"↓","→"))</x:f>
        <x:v>→</x:v>
      </x:c>
      <x:c r="BE328" s="23" t="str">
        <x:v>Fantasy Football Brief ROS baseline; official NFL schedule</x:v>
      </x:c>
      <x:c r="BF328" s="23" t="str">
        <x:v>Current role and availability baseline; all adjustment factors shown numerically</x:v>
      </x:c>
      <x:c r="BG328" s="23" t="str">
        <x:v>Material injury, depth-chart, or role change</x:v>
      </x:c>
      <x:c r="BH328" s="24" t="str">
        <x:v>2026-09-23 10:35 CT</x:v>
      </x:c>
    </x:row>
    <x:row r="329">
      <x:c r="A329" s="12" t="str">
        <x:v>Cleveland Browns</x:v>
      </x:c>
      <x:c r="B329" s="12" t="str">
        <x:v>CLE</x:v>
      </x:c>
      <x:c r="C329" s="12" t="str">
        <x:v>DST</x:v>
      </x:c>
      <x:c r="D329" s="12" t="str">
        <x:v>CAR</x:v>
      </x:c>
      <x:c r="E329" s="12" t="str">
        <x:v>Home</x:v>
      </x:c>
      <x:c r="F329" s="12" t="str">
        <x:v>2026-09-27</x:v>
      </x:c>
      <x:c r="G329" s="19" t="n">
        <x:v>1</x:v>
      </x:c>
      <x:c r="H329" s="20" t="str">
        <x:v>ACTIVE</x:v>
      </x:c>
      <x:c r="I329" s="20" t="n">
        <x:v>62</x:v>
      </x:c>
      <x:c r="J329" s="20" t="str">
        <x:v>Defensive snaps</x:v>
      </x:c>
      <x:c r="K329" s="20" t="n">
        <x:v>62</x:v>
      </x:c>
      <x:c r="L329" s="21" t="n">
        <x:v>0</x:v>
      </x:c>
      <x:c r="M329" s="21" t="n">
        <x:v>0</x:v>
      </x:c>
      <x:c r="N329" s="21" t="n">
        <x:v>0</x:v>
      </x:c>
      <x:c r="O329" s="21" t="n">
        <x:v>0</x:v>
      </x:c>
      <x:c r="P329" s="21" t="n">
        <x:v>0</x:v>
      </x:c>
      <x:c r="Q329" s="21" t="n">
        <x:v>0</x:v>
      </x:c>
      <x:c r="R329" s="21" t="n">
        <x:v>0</x:v>
      </x:c>
      <x:c r="S329" s="21" t="n">
        <x:v>0</x:v>
      </x:c>
      <x:c r="T329" s="21" t="n">
        <x:v>0</x:v>
      </x:c>
      <x:c r="U329" s="21" t="n">
        <x:v>0</x:v>
      </x:c>
      <x:c r="V329" s="21" t="n">
        <x:v>0</x:v>
      </x:c>
      <x:c r="W329" s="21" t="n">
        <x:v>0</x:v>
      </x:c>
      <x:c r="X329" s="21" t="n">
        <x:v>0</x:v>
      </x:c>
      <x:c r="Y329" s="21" t="n">
        <x:v>0</x:v>
      </x:c>
      <x:c r="Z329" s="21" t="n">
        <x:v>0</x:v>
      </x:c>
      <x:c r="AA329" s="21" t="n">
        <x:v>0</x:v>
      </x:c>
      <x:c r="AB329" s="21" t="n">
        <x:v>0</x:v>
      </x:c>
      <x:c r="AC329" s="21" t="n">
        <x:v>0</x:v>
      </x:c>
      <x:c r="AD329" s="21" t="n">
        <x:v>0</x:v>
      </x:c>
      <x:c r="AE329" s="21" t="n">
        <x:v>0</x:v>
      </x:c>
      <x:c r="AF329" s="21" t="n">
        <x:v>0</x:v>
      </x:c>
      <x:c r="AG329" s="21" t="n">
        <x:v>2.43238578680203</x:v>
      </x:c>
      <x:c r="AH329" s="21" t="n">
        <x:v>1.1675451776649743</x:v>
      </x:c>
      <x:c r="AI329" s="21" t="n">
        <x:v>0.07783634517766498</x:v>
      </x:c>
      <x:c r="AJ329" s="21" t="n">
        <x:v>21</x:v>
      </x:c>
      <x:c r="AK329" s="21" t="n">
        <x:v>340</x:v>
      </x:c>
      <x:c r="AL329" s="21" t="n">
        <x:v>2.43238578680203</x:v>
      </x:c>
      <x:c r="AM329" s="21" t="n">
        <x:v>1</x:v>
      </x:c>
      <x:c r="AN329" s="21" t="n">
        <x:v>1</x:v>
      </x:c>
      <x:c r="AO329" s="21" t="n">
        <x:v>1</x:v>
      </x:c>
      <x:c r="AP329" s="21" t="n">
        <x:v>0.97</x:v>
      </x:c>
      <x:c r="AQ329" s="21" t="n">
        <x:v>1.04</x:v>
      </x:c>
      <x:c r="AR329" s="21" t="n">
        <x:v>1</x:v>
      </x:c>
      <x:c r="AS329" s="21" t="n">
        <x:v>1</x:v>
      </x:c>
      <x:c r="AT329" s="21" t="n">
        <x:v>1</x:v>
      </x:c>
      <x:c r="AU329" s="21" t="n">
        <x:v>0</x:v>
      </x:c>
      <x:c r="AV329" s="22" t="n">
        <x:f>IF(C329="QB",N329*0.04+O329*4-P329*2+R329*0.1+S329*6,IF(OR(C329="RB",C329="WR",C329="TE"),U329*0.1+V329*6+R329*0.1+S329*6+X329*0.5+Y329*0.1+Z329*6,IF(C329="K",AC329*3+AD329*4+AE329*5+AF329,IF(C329="DST",AG329+AH329*2+AI329*6+AL329,0))))</x:f>
        <x:v>7.666879999999999</x:v>
      </x:c>
      <x:c r="AW329" s="22" t="n">
        <x:f>(AV329+AU329)*G329</x:f>
        <x:v>7.666879999999999</x:v>
      </x:c>
      <x:c r="AX329" s="22" t="n">
        <x:f>MAX(0,AW329*IF(C329="QB",0.68,IF(C329="RB",0.58,IF(C329="WR",0.52,IF(C329="TE",0.50,IF(C329="K",0.55,0.40))))))</x:f>
        <x:v>3.0667519999999997</x:v>
      </x:c>
      <x:c r="AY329" s="22" t="n">
        <x:f>AW329*IF(C329="QB",1.32,IF(C329="RB",1.45,IF(C329="WR",1.55,IF(C329="TE",1.60,IF(C329="K",1.45,1.65)))))</x:f>
        <x:v>12.650351999999998</x:v>
      </x:c>
      <x:c r="AZ329" s="12" t="str">
        <x:v>High</x:v>
      </x:c>
      <x:c r="BA329" s="12" t="n">
        <x:v>3</x:v>
      </x:c>
      <x:c r="BB329" s="12" t="n">
        <x:f>COUNTIFS($C$2:$C$344,C329,$AW$2:$AW$344,"&gt;"&amp;AW329,$G$2:$G$344,"&gt;0")+COUNTIFS($C$2:C329,C329,$AW$2:AW329,AW329,$G$2:G329,"&gt;0")</x:f>
        <x:v>17</x:v>
      </x:c>
      <x:c r="BC329" s="12" t="n">
        <x:v>17</x:v>
      </x:c>
      <x:c r="BD329" s="12" t="str">
        <x:f>IF(BB329&lt;BC329,"↑",IF(BB329&gt;BC329,"↓","→"))</x:f>
        <x:v>→</x:v>
      </x:c>
      <x:c r="BE329" s="23" t="str">
        <x:v>Fantasy Football Brief ROS baseline; official NFL schedule</x:v>
      </x:c>
      <x:c r="BF329" s="23" t="str">
        <x:v>Current role and availability baseline; all adjustment factors shown numerically</x:v>
      </x:c>
      <x:c r="BG329" s="23" t="str">
        <x:v>Material injury, depth-chart, or role change</x:v>
      </x:c>
      <x:c r="BH329" s="24" t="str">
        <x:v>2026-09-23 10:35 CT</x:v>
      </x:c>
    </x:row>
    <x:row r="330">
      <x:c r="A330" s="12" t="str">
        <x:v>New Orleans Saints</x:v>
      </x:c>
      <x:c r="B330" s="12" t="str">
        <x:v>NO</x:v>
      </x:c>
      <x:c r="C330" s="12" t="str">
        <x:v>DST</x:v>
      </x:c>
      <x:c r="D330" s="12" t="str">
        <x:v>LV</x:v>
      </x:c>
      <x:c r="E330" s="12" t="str">
        <x:v>Home</x:v>
      </x:c>
      <x:c r="F330" s="12" t="str">
        <x:v>2026-09-27</x:v>
      </x:c>
      <x:c r="G330" s="19" t="n">
        <x:v>1</x:v>
      </x:c>
      <x:c r="H330" s="20" t="str">
        <x:v>ACTIVE</x:v>
      </x:c>
      <x:c r="I330" s="20" t="n">
        <x:v>62</x:v>
      </x:c>
      <x:c r="J330" s="20" t="str">
        <x:v>Defensive snaps</x:v>
      </x:c>
      <x:c r="K330" s="20" t="n">
        <x:v>62</x:v>
      </x:c>
      <x:c r="L330" s="21" t="n">
        <x:v>0</x:v>
      </x:c>
      <x:c r="M330" s="21" t="n">
        <x:v>0</x:v>
      </x:c>
      <x:c r="N330" s="21" t="n">
        <x:v>0</x:v>
      </x:c>
      <x:c r="O330" s="21" t="n">
        <x:v>0</x:v>
      </x:c>
      <x:c r="P330" s="21" t="n">
        <x:v>0</x:v>
      </x:c>
      <x:c r="Q330" s="21" t="n">
        <x:v>0</x:v>
      </x:c>
      <x:c r="R330" s="21" t="n">
        <x:v>0</x:v>
      </x:c>
      <x:c r="S330" s="21" t="n">
        <x:v>0</x:v>
      </x:c>
      <x:c r="T330" s="21" t="n">
        <x:v>0</x:v>
      </x:c>
      <x:c r="U330" s="21" t="n">
        <x:v>0</x:v>
      </x:c>
      <x:c r="V330" s="21" t="n">
        <x:v>0</x:v>
      </x:c>
      <x:c r="W330" s="21" t="n">
        <x:v>0</x:v>
      </x:c>
      <x:c r="X330" s="21" t="n">
        <x:v>0</x:v>
      </x:c>
      <x:c r="Y330" s="21" t="n">
        <x:v>0</x:v>
      </x:c>
      <x:c r="Z330" s="21" t="n">
        <x:v>0</x:v>
      </x:c>
      <x:c r="AA330" s="21" t="n">
        <x:v>0</x:v>
      </x:c>
      <x:c r="AB330" s="21" t="n">
        <x:v>0</x:v>
      </x:c>
      <x:c r="AC330" s="21" t="n">
        <x:v>0</x:v>
      </x:c>
      <x:c r="AD330" s="21" t="n">
        <x:v>0</x:v>
      </x:c>
      <x:c r="AE330" s="21" t="n">
        <x:v>0</x:v>
      </x:c>
      <x:c r="AF330" s="21" t="n">
        <x:v>0</x:v>
      </x:c>
      <x:c r="AG330" s="21" t="n">
        <x:v>2.418464467005076</x:v>
      </x:c>
      <x:c r="AH330" s="21" t="n">
        <x:v>1.1608629441624363</x:v>
      </x:c>
      <x:c r="AI330" s="21" t="n">
        <x:v>0.07739086294416245</x:v>
      </x:c>
      <x:c r="AJ330" s="21" t="n">
        <x:v>21</x:v>
      </x:c>
      <x:c r="AK330" s="21" t="n">
        <x:v>340</x:v>
      </x:c>
      <x:c r="AL330" s="21" t="n">
        <x:v>2.418464467005076</x:v>
      </x:c>
      <x:c r="AM330" s="21" t="n">
        <x:v>1</x:v>
      </x:c>
      <x:c r="AN330" s="21" t="n">
        <x:v>1</x:v>
      </x:c>
      <x:c r="AO330" s="21" t="n">
        <x:v>1</x:v>
      </x:c>
      <x:c r="AP330" s="21" t="n">
        <x:v>0.99</x:v>
      </x:c>
      <x:c r="AQ330" s="21" t="n">
        <x:v>1</x:v>
      </x:c>
      <x:c r="AR330" s="21" t="n">
        <x:v>1</x:v>
      </x:c>
      <x:c r="AS330" s="21" t="n">
        <x:v>1</x:v>
      </x:c>
      <x:c r="AT330" s="21" t="n">
        <x:v>1</x:v>
      </x:c>
      <x:c r="AU330" s="21" t="n">
        <x:v>0</x:v>
      </x:c>
      <x:c r="AV330" s="22" t="n">
        <x:f>IF(C330="QB",N330*0.04+O330*4-P330*2+R330*0.1+S330*6,IF(OR(C330="RB",C330="WR",C330="TE"),U330*0.1+V330*6+R330*0.1+S330*6+X330*0.5+Y330*0.1+Z330*6,IF(C330="K",AC330*3+AD330*4+AE330*5+AF330,IF(C330="DST",AG330+AH330*2+AI330*6+AL330,0))))</x:f>
        <x:v>7.622999999999999</x:v>
      </x:c>
      <x:c r="AW330" s="22" t="n">
        <x:f>(AV330+AU330)*G330</x:f>
        <x:v>7.622999999999999</x:v>
      </x:c>
      <x:c r="AX330" s="22" t="n">
        <x:f>MAX(0,AW330*IF(C330="QB",0.68,IF(C330="RB",0.58,IF(C330="WR",0.52,IF(C330="TE",0.50,IF(C330="K",0.55,0.40))))))</x:f>
        <x:v>3.0492</x:v>
      </x:c>
      <x:c r="AY330" s="22" t="n">
        <x:f>AW330*IF(C330="QB",1.32,IF(C330="RB",1.45,IF(C330="WR",1.55,IF(C330="TE",1.60,IF(C330="K",1.45,1.65)))))</x:f>
        <x:v>12.577949999999998</x:v>
      </x:c>
      <x:c r="AZ330" s="12" t="str">
        <x:v>High</x:v>
      </x:c>
      <x:c r="BA330" s="12" t="n">
        <x:v>3</x:v>
      </x:c>
      <x:c r="BB330" s="12" t="n">
        <x:f>COUNTIFS($C$2:$C$344,C330,$AW$2:$AW$344,"&gt;"&amp;AW330,$G$2:$G$344,"&gt;0")+COUNTIFS($C$2:C330,C330,$AW$2:AW330,AW330,$G$2:G330,"&gt;0")</x:f>
        <x:v>18</x:v>
      </x:c>
      <x:c r="BC330" s="12" t="n">
        <x:v>18</x:v>
      </x:c>
      <x:c r="BD330" s="12" t="str">
        <x:f>IF(BB330&lt;BC330,"↑",IF(BB330&gt;BC330,"↓","→"))</x:f>
        <x:v>→</x:v>
      </x:c>
      <x:c r="BE330" s="23" t="str">
        <x:v>Fantasy Football Brief ROS baseline; official NFL schedule</x:v>
      </x:c>
      <x:c r="BF330" s="23" t="str">
        <x:v>Current role and availability baseline; all adjustment factors shown numerically</x:v>
      </x:c>
      <x:c r="BG330" s="23" t="str">
        <x:v>Material injury, depth-chart, or role change</x:v>
      </x:c>
      <x:c r="BH330" s="24" t="str">
        <x:v>2026-09-23 10:35 CT</x:v>
      </x:c>
    </x:row>
    <x:row r="331">
      <x:c r="A331" s="12" t="str">
        <x:v>Indianapolis Colts</x:v>
      </x:c>
      <x:c r="B331" s="12" t="str">
        <x:v>IND</x:v>
      </x:c>
      <x:c r="C331" s="12" t="str">
        <x:v>DST</x:v>
      </x:c>
      <x:c r="D331" s="12" t="str">
        <x:v>HOU</x:v>
      </x:c>
      <x:c r="E331" s="12" t="str">
        <x:v>Home</x:v>
      </x:c>
      <x:c r="F331" s="12" t="str">
        <x:v>2026-09-27</x:v>
      </x:c>
      <x:c r="G331" s="19" t="n">
        <x:v>1</x:v>
      </x:c>
      <x:c r="H331" s="20" t="str">
        <x:v>ACTIVE</x:v>
      </x:c>
      <x:c r="I331" s="20" t="n">
        <x:v>62</x:v>
      </x:c>
      <x:c r="J331" s="20" t="str">
        <x:v>Defensive snaps</x:v>
      </x:c>
      <x:c r="K331" s="20" t="n">
        <x:v>62</x:v>
      </x:c>
      <x:c r="L331" s="21" t="n">
        <x:v>0</x:v>
      </x:c>
      <x:c r="M331" s="21" t="n">
        <x:v>0</x:v>
      </x:c>
      <x:c r="N331" s="21" t="n">
        <x:v>0</x:v>
      </x:c>
      <x:c r="O331" s="21" t="n">
        <x:v>0</x:v>
      </x:c>
      <x:c r="P331" s="21" t="n">
        <x:v>0</x:v>
      </x:c>
      <x:c r="Q331" s="21" t="n">
        <x:v>0</x:v>
      </x:c>
      <x:c r="R331" s="21" t="n">
        <x:v>0</x:v>
      </x:c>
      <x:c r="S331" s="21" t="n">
        <x:v>0</x:v>
      </x:c>
      <x:c r="T331" s="21" t="n">
        <x:v>0</x:v>
      </x:c>
      <x:c r="U331" s="21" t="n">
        <x:v>0</x:v>
      </x:c>
      <x:c r="V331" s="21" t="n">
        <x:v>0</x:v>
      </x:c>
      <x:c r="W331" s="21" t="n">
        <x:v>0</x:v>
      </x:c>
      <x:c r="X331" s="21" t="n">
        <x:v>0</x:v>
      </x:c>
      <x:c r="Y331" s="21" t="n">
        <x:v>0</x:v>
      </x:c>
      <x:c r="Z331" s="21" t="n">
        <x:v>0</x:v>
      </x:c>
      <x:c r="AA331" s="21" t="n">
        <x:v>0</x:v>
      </x:c>
      <x:c r="AB331" s="21" t="n">
        <x:v>0</x:v>
      </x:c>
      <x:c r="AC331" s="21" t="n">
        <x:v>0</x:v>
      </x:c>
      <x:c r="AD331" s="21" t="n">
        <x:v>0</x:v>
      </x:c>
      <x:c r="AE331" s="21" t="n">
        <x:v>0</x:v>
      </x:c>
      <x:c r="AF331" s="21" t="n">
        <x:v>0</x:v>
      </x:c>
      <x:c r="AG331" s="21" t="n">
        <x:v>2.2906091370558377</x:v>
      </x:c>
      <x:c r="AH331" s="21" t="n">
        <x:v>1.099492385786802</x:v>
      </x:c>
      <x:c r="AI331" s="21" t="n">
        <x:v>0.0732994923857868</x:v>
      </x:c>
      <x:c r="AJ331" s="21" t="n">
        <x:v>21</x:v>
      </x:c>
      <x:c r="AK331" s="21" t="n">
        <x:v>340</x:v>
      </x:c>
      <x:c r="AL331" s="21" t="n">
        <x:v>2.2906091370558377</x:v>
      </x:c>
      <x:c r="AM331" s="21" t="n">
        <x:v>1</x:v>
      </x:c>
      <x:c r="AN331" s="21" t="n">
        <x:v>1</x:v>
      </x:c>
      <x:c r="AO331" s="21" t="n">
        <x:v>1</x:v>
      </x:c>
      <x:c r="AP331" s="21" t="n">
        <x:v>1</x:v>
      </x:c>
      <x:c r="AQ331" s="21" t="n">
        <x:v>0.95</x:v>
      </x:c>
      <x:c r="AR331" s="21" t="n">
        <x:v>1</x:v>
      </x:c>
      <x:c r="AS331" s="21" t="n">
        <x:v>1</x:v>
      </x:c>
      <x:c r="AT331" s="21" t="n">
        <x:v>1</x:v>
      </x:c>
      <x:c r="AU331" s="21" t="n">
        <x:v>0</x:v>
      </x:c>
      <x:c r="AV331" s="22" t="n">
        <x:f>IF(C331="QB",N331*0.04+O331*4-P331*2+R331*0.1+S331*6,IF(OR(C331="RB",C331="WR",C331="TE"),U331*0.1+V331*6+R331*0.1+S331*6+X331*0.5+Y331*0.1+Z331*6,IF(C331="K",AC331*3+AD331*4+AE331*5+AF331,IF(C331="DST",AG331+AH331*2+AI331*6+AL331,0))))</x:f>
        <x:v>7.22</x:v>
      </x:c>
      <x:c r="AW331" s="22" t="n">
        <x:f>(AV331+AU331)*G331</x:f>
        <x:v>7.22</x:v>
      </x:c>
      <x:c r="AX331" s="22" t="n">
        <x:f>MAX(0,AW331*IF(C331="QB",0.68,IF(C331="RB",0.58,IF(C331="WR",0.52,IF(C331="TE",0.50,IF(C331="K",0.55,0.40))))))</x:f>
        <x:v>2.888</x:v>
      </x:c>
      <x:c r="AY331" s="22" t="n">
        <x:f>AW331*IF(C331="QB",1.32,IF(C331="RB",1.45,IF(C331="WR",1.55,IF(C331="TE",1.60,IF(C331="K",1.45,1.65)))))</x:f>
        <x:v>11.912999999999998</x:v>
      </x:c>
      <x:c r="AZ331" s="12" t="str">
        <x:v>High</x:v>
      </x:c>
      <x:c r="BA331" s="12" t="n">
        <x:v>3</x:v>
      </x:c>
      <x:c r="BB331" s="12" t="n">
        <x:f>COUNTIFS($C$2:$C$344,C331,$AW$2:$AW$344,"&gt;"&amp;AW331,$G$2:$G$344,"&gt;0")+COUNTIFS($C$2:C331,C331,$AW$2:AW331,AW331,$G$2:G331,"&gt;0")</x:f>
        <x:v>19</x:v>
      </x:c>
      <x:c r="BC331" s="12" t="n">
        <x:v>19</x:v>
      </x:c>
      <x:c r="BD331" s="12" t="str">
        <x:f>IF(BB331&lt;BC331,"↑",IF(BB331&gt;BC331,"↓","→"))</x:f>
        <x:v>→</x:v>
      </x:c>
      <x:c r="BE331" s="23" t="str">
        <x:v>Fantasy Football Brief ROS baseline; official NFL schedule</x:v>
      </x:c>
      <x:c r="BF331" s="23" t="str">
        <x:v>Current role and availability baseline; all adjustment factors shown numerically</x:v>
      </x:c>
      <x:c r="BG331" s="23" t="str">
        <x:v>Material injury, depth-chart, or role change</x:v>
      </x:c>
      <x:c r="BH331" s="24" t="str">
        <x:v>2026-09-23 10:35 CT</x:v>
      </x:c>
    </x:row>
    <x:row r="332">
      <x:c r="A332" s="12" t="str">
        <x:v>Tampa Bay Buccaneers</x:v>
      </x:c>
      <x:c r="B332" s="12" t="str">
        <x:v>TB</x:v>
      </x:c>
      <x:c r="C332" s="12" t="str">
        <x:v>DST</x:v>
      </x:c>
      <x:c r="D332" s="12" t="str">
        <x:v>MIN</x:v>
      </x:c>
      <x:c r="E332" s="12" t="str">
        <x:v>Home</x:v>
      </x:c>
      <x:c r="F332" s="12" t="str">
        <x:v>2026-09-27</x:v>
      </x:c>
      <x:c r="G332" s="19" t="n">
        <x:v>1</x:v>
      </x:c>
      <x:c r="H332" s="20" t="str">
        <x:v>ACTIVE</x:v>
      </x:c>
      <x:c r="I332" s="20" t="n">
        <x:v>62</x:v>
      </x:c>
      <x:c r="J332" s="20" t="str">
        <x:v>Defensive snaps</x:v>
      </x:c>
      <x:c r="K332" s="20" t="n">
        <x:v>62</x:v>
      </x:c>
      <x:c r="L332" s="21" t="n">
        <x:v>0</x:v>
      </x:c>
      <x:c r="M332" s="21" t="n">
        <x:v>0</x:v>
      </x:c>
      <x:c r="N332" s="21" t="n">
        <x:v>0</x:v>
      </x:c>
      <x:c r="O332" s="21" t="n">
        <x:v>0</x:v>
      </x:c>
      <x:c r="P332" s="21" t="n">
        <x:v>0</x:v>
      </x:c>
      <x:c r="Q332" s="21" t="n">
        <x:v>0</x:v>
      </x:c>
      <x:c r="R332" s="21" t="n">
        <x:v>0</x:v>
      </x:c>
      <x:c r="S332" s="21" t="n">
        <x:v>0</x:v>
      </x:c>
      <x:c r="T332" s="21" t="n">
        <x:v>0</x:v>
      </x:c>
      <x:c r="U332" s="21" t="n">
        <x:v>0</x:v>
      </x:c>
      <x:c r="V332" s="21" t="n">
        <x:v>0</x:v>
      </x:c>
      <x:c r="W332" s="21" t="n">
        <x:v>0</x:v>
      </x:c>
      <x:c r="X332" s="21" t="n">
        <x:v>0</x:v>
      </x:c>
      <x:c r="Y332" s="21" t="n">
        <x:v>0</x:v>
      </x:c>
      <x:c r="Z332" s="21" t="n">
        <x:v>0</x:v>
      </x:c>
      <x:c r="AA332" s="21" t="n">
        <x:v>0</x:v>
      </x:c>
      <x:c r="AB332" s="21" t="n">
        <x:v>0</x:v>
      </x:c>
      <x:c r="AC332" s="21" t="n">
        <x:v>0</x:v>
      </x:c>
      <x:c r="AD332" s="21" t="n">
        <x:v>0</x:v>
      </x:c>
      <x:c r="AE332" s="21" t="n">
        <x:v>0</x:v>
      </x:c>
      <x:c r="AF332" s="21" t="n">
        <x:v>0</x:v>
      </x:c>
      <x:c r="AG332" s="21" t="n">
        <x:v>2.260964467005076</x:v>
      </x:c>
      <x:c r="AH332" s="21" t="n">
        <x:v>1.0852629441624366</x:v>
      </x:c>
      <x:c r="AI332" s="21" t="n">
        <x:v>0.07235086294416244</x:v>
      </x:c>
      <x:c r="AJ332" s="21" t="n">
        <x:v>21</x:v>
      </x:c>
      <x:c r="AK332" s="21" t="n">
        <x:v>340</x:v>
      </x:c>
      <x:c r="AL332" s="21" t="n">
        <x:v>2.260964467005076</x:v>
      </x:c>
      <x:c r="AM332" s="21" t="n">
        <x:v>1</x:v>
      </x:c>
      <x:c r="AN332" s="21" t="n">
        <x:v>1</x:v>
      </x:c>
      <x:c r="AO332" s="21" t="n">
        <x:v>1</x:v>
      </x:c>
      <x:c r="AP332" s="21" t="n">
        <x:v>1.01</x:v>
      </x:c>
      <x:c r="AQ332" s="21" t="n">
        <x:v>0.98</x:v>
      </x:c>
      <x:c r="AR332" s="21" t="n">
        <x:v>1</x:v>
      </x:c>
      <x:c r="AS332" s="21" t="n">
        <x:v>1</x:v>
      </x:c>
      <x:c r="AT332" s="21" t="n">
        <x:v>1</x:v>
      </x:c>
      <x:c r="AU332" s="21" t="n">
        <x:v>0</x:v>
      </x:c>
      <x:c r="AV332" s="22" t="n">
        <x:f>IF(C332="QB",N332*0.04+O332*4-P332*2+R332*0.1+S332*6,IF(OR(C332="RB",C332="WR",C332="TE"),U332*0.1+V332*6+R332*0.1+S332*6+X332*0.5+Y332*0.1+Z332*6,IF(C332="K",AC332*3+AD332*4+AE332*5+AF332,IF(C332="DST",AG332+AH332*2+AI332*6+AL332,0))))</x:f>
        <x:v>7.12656</x:v>
      </x:c>
      <x:c r="AW332" s="22" t="n">
        <x:f>(AV332+AU332)*G332</x:f>
        <x:v>7.12656</x:v>
      </x:c>
      <x:c r="AX332" s="22" t="n">
        <x:f>MAX(0,AW332*IF(C332="QB",0.68,IF(C332="RB",0.58,IF(C332="WR",0.52,IF(C332="TE",0.50,IF(C332="K",0.55,0.40))))))</x:f>
        <x:v>2.850624</x:v>
      </x:c>
      <x:c r="AY332" s="22" t="n">
        <x:f>AW332*IF(C332="QB",1.32,IF(C332="RB",1.45,IF(C332="WR",1.55,IF(C332="TE",1.60,IF(C332="K",1.45,1.65)))))</x:f>
        <x:v>11.758823999999999</x:v>
      </x:c>
      <x:c r="AZ332" s="12" t="str">
        <x:v>High</x:v>
      </x:c>
      <x:c r="BA332" s="12" t="n">
        <x:v>3</x:v>
      </x:c>
      <x:c r="BB332" s="12" t="n">
        <x:f>COUNTIFS($C$2:$C$344,C332,$AW$2:$AW$344,"&gt;"&amp;AW332,$G$2:$G$344,"&gt;0")+COUNTIFS($C$2:C332,C332,$AW$2:AW332,AW332,$G$2:G332,"&gt;0")</x:f>
        <x:v>20</x:v>
      </x:c>
      <x:c r="BC332" s="12" t="n">
        <x:v>20</x:v>
      </x:c>
      <x:c r="BD332" s="12" t="str">
        <x:f>IF(BB332&lt;BC332,"↑",IF(BB332&gt;BC332,"↓","→"))</x:f>
        <x:v>→</x:v>
      </x:c>
      <x:c r="BE332" s="23" t="str">
        <x:v>Fantasy Football Brief ROS baseline; official NFL schedule</x:v>
      </x:c>
      <x:c r="BF332" s="23" t="str">
        <x:v>Current role and availability baseline; all adjustment factors shown numerically</x:v>
      </x:c>
      <x:c r="BG332" s="23" t="str">
        <x:v>Material injury, depth-chart, or role change</x:v>
      </x:c>
      <x:c r="BH332" s="24" t="str">
        <x:v>2026-09-23 10:35 CT</x:v>
      </x:c>
    </x:row>
    <x:row r="333">
      <x:c r="A333" s="12" t="str">
        <x:v>New York Giants</x:v>
      </x:c>
      <x:c r="B333" s="12" t="str">
        <x:v>NYG</x:v>
      </x:c>
      <x:c r="C333" s="12" t="str">
        <x:v>DST</x:v>
      </x:c>
      <x:c r="D333" s="12" t="str">
        <x:v>TEN</x:v>
      </x:c>
      <x:c r="E333" s="12" t="str">
        <x:v>Home</x:v>
      </x:c>
      <x:c r="F333" s="12" t="str">
        <x:v>2026-09-27</x:v>
      </x:c>
      <x:c r="G333" s="19" t="n">
        <x:v>1</x:v>
      </x:c>
      <x:c r="H333" s="20" t="str">
        <x:v>ACTIVE</x:v>
      </x:c>
      <x:c r="I333" s="20" t="n">
        <x:v>62</x:v>
      </x:c>
      <x:c r="J333" s="20" t="str">
        <x:v>Defensive snaps</x:v>
      </x:c>
      <x:c r="K333" s="20" t="n">
        <x:v>62</x:v>
      </x:c>
      <x:c r="L333" s="21" t="n">
        <x:v>0</x:v>
      </x:c>
      <x:c r="M333" s="21" t="n">
        <x:v>0</x:v>
      </x:c>
      <x:c r="N333" s="21" t="n">
        <x:v>0</x:v>
      </x:c>
      <x:c r="O333" s="21" t="n">
        <x:v>0</x:v>
      </x:c>
      <x:c r="P333" s="21" t="n">
        <x:v>0</x:v>
      </x:c>
      <x:c r="Q333" s="21" t="n">
        <x:v>0</x:v>
      </x:c>
      <x:c r="R333" s="21" t="n">
        <x:v>0</x:v>
      </x:c>
      <x:c r="S333" s="21" t="n">
        <x:v>0</x:v>
      </x:c>
      <x:c r="T333" s="21" t="n">
        <x:v>0</x:v>
      </x:c>
      <x:c r="U333" s="21" t="n">
        <x:v>0</x:v>
      </x:c>
      <x:c r="V333" s="21" t="n">
        <x:v>0</x:v>
      </x:c>
      <x:c r="W333" s="21" t="n">
        <x:v>0</x:v>
      </x:c>
      <x:c r="X333" s="21" t="n">
        <x:v>0</x:v>
      </x:c>
      <x:c r="Y333" s="21" t="n">
        <x:v>0</x:v>
      </x:c>
      <x:c r="Z333" s="21" t="n">
        <x:v>0</x:v>
      </x:c>
      <x:c r="AA333" s="21" t="n">
        <x:v>0</x:v>
      </x:c>
      <x:c r="AB333" s="21" t="n">
        <x:v>0</x:v>
      </x:c>
      <x:c r="AC333" s="21" t="n">
        <x:v>0</x:v>
      </x:c>
      <x:c r="AD333" s="21" t="n">
        <x:v>0</x:v>
      </x:c>
      <x:c r="AE333" s="21" t="n">
        <x:v>0</x:v>
      </x:c>
      <x:c r="AF333" s="21" t="n">
        <x:v>0</x:v>
      </x:c>
      <x:c r="AG333" s="21" t="n">
        <x:v>2.236751269035533</x:v>
      </x:c>
      <x:c r="AH333" s="21" t="n">
        <x:v>1.0736406091370558</x:v>
      </x:c>
      <x:c r="AI333" s="21" t="n">
        <x:v>0.07157604060913705</x:v>
      </x:c>
      <x:c r="AJ333" s="21" t="n">
        <x:v>21</x:v>
      </x:c>
      <x:c r="AK333" s="21" t="n">
        <x:v>340</x:v>
      </x:c>
      <x:c r="AL333" s="21" t="n">
        <x:v>2.236751269035533</x:v>
      </x:c>
      <x:c r="AM333" s="21" t="n">
        <x:v>1</x:v>
      </x:c>
      <x:c r="AN333" s="21" t="n">
        <x:v>1</x:v>
      </x:c>
      <x:c r="AO333" s="21" t="n">
        <x:v>1</x:v>
      </x:c>
      <x:c r="AP333" s="21" t="n">
        <x:v>0.96</x:v>
      </x:c>
      <x:c r="AQ333" s="21" t="n">
        <x:v>1.02</x:v>
      </x:c>
      <x:c r="AR333" s="21" t="n">
        <x:v>1</x:v>
      </x:c>
      <x:c r="AS333" s="21" t="n">
        <x:v>1</x:v>
      </x:c>
      <x:c r="AT333" s="21" t="n">
        <x:v>1</x:v>
      </x:c>
      <x:c r="AU333" s="21" t="n">
        <x:v>0</x:v>
      </x:c>
      <x:c r="AV333" s="22" t="n">
        <x:f>IF(C333="QB",N333*0.04+O333*4-P333*2+R333*0.1+S333*6,IF(OR(C333="RB",C333="WR",C333="TE"),U333*0.1+V333*6+R333*0.1+S333*6+X333*0.5+Y333*0.1+Z333*6,IF(C333="K",AC333*3+AD333*4+AE333*5+AF333,IF(C333="DST",AG333+AH333*2+AI333*6+AL333,0))))</x:f>
        <x:v>7.0502400000000005</x:v>
      </x:c>
      <x:c r="AW333" s="22" t="n">
        <x:f>(AV333+AU333)*G333</x:f>
        <x:v>7.0502400000000005</x:v>
      </x:c>
      <x:c r="AX333" s="22" t="n">
        <x:f>MAX(0,AW333*IF(C333="QB",0.68,IF(C333="RB",0.58,IF(C333="WR",0.52,IF(C333="TE",0.50,IF(C333="K",0.55,0.40))))))</x:f>
        <x:v>2.8200960000000004</x:v>
      </x:c>
      <x:c r="AY333" s="22" t="n">
        <x:f>AW333*IF(C333="QB",1.32,IF(C333="RB",1.45,IF(C333="WR",1.55,IF(C333="TE",1.60,IF(C333="K",1.45,1.65)))))</x:f>
        <x:v>11.632896</x:v>
      </x:c>
      <x:c r="AZ333" s="12" t="str">
        <x:v>High</x:v>
      </x:c>
      <x:c r="BA333" s="12" t="n">
        <x:v>3</x:v>
      </x:c>
      <x:c r="BB333" s="12" t="n">
        <x:f>COUNTIFS($C$2:$C$344,C333,$AW$2:$AW$344,"&gt;"&amp;AW333,$G$2:$G$344,"&gt;0")+COUNTIFS($C$2:C333,C333,$AW$2:AW333,AW333,$G$2:G333,"&gt;0")</x:f>
        <x:v>21</x:v>
      </x:c>
      <x:c r="BC333" s="12" t="n">
        <x:v>21</x:v>
      </x:c>
      <x:c r="BD333" s="12" t="str">
        <x:f>IF(BB333&lt;BC333,"↑",IF(BB333&gt;BC333,"↓","→"))</x:f>
        <x:v>→</x:v>
      </x:c>
      <x:c r="BE333" s="23" t="str">
        <x:v>Fantasy Football Brief ROS baseline; official NFL schedule</x:v>
      </x:c>
      <x:c r="BF333" s="23" t="str">
        <x:v>Current role and availability baseline; all adjustment factors shown numerically</x:v>
      </x:c>
      <x:c r="BG333" s="23" t="str">
        <x:v>Material injury, depth-chart, or role change</x:v>
      </x:c>
      <x:c r="BH333" s="24" t="str">
        <x:v>2026-09-23 10:35 CT</x:v>
      </x:c>
    </x:row>
    <x:row r="334">
      <x:c r="A334" s="12" t="str">
        <x:v>Dallas Cowboys</x:v>
      </x:c>
      <x:c r="B334" s="12" t="str">
        <x:v>DAL</x:v>
      </x:c>
      <x:c r="C334" s="12" t="str">
        <x:v>DST</x:v>
      </x:c>
      <x:c r="D334" s="12" t="str">
        <x:v>BAL</x:v>
      </x:c>
      <x:c r="E334" s="12" t="str">
        <x:v>Home</x:v>
      </x:c>
      <x:c r="F334" s="12" t="str">
        <x:v>2026-09-27</x:v>
      </x:c>
      <x:c r="G334" s="19" t="n">
        <x:v>1</x:v>
      </x:c>
      <x:c r="H334" s="20" t="str">
        <x:v>ACTIVE</x:v>
      </x:c>
      <x:c r="I334" s="20" t="n">
        <x:v>62</x:v>
      </x:c>
      <x:c r="J334" s="20" t="str">
        <x:v>Defensive snaps</x:v>
      </x:c>
      <x:c r="K334" s="20" t="n">
        <x:v>62</x:v>
      </x:c>
      <x:c r="L334" s="21" t="n">
        <x:v>0</x:v>
      </x:c>
      <x:c r="M334" s="21" t="n">
        <x:v>0</x:v>
      </x:c>
      <x:c r="N334" s="21" t="n">
        <x:v>0</x:v>
      </x:c>
      <x:c r="O334" s="21" t="n">
        <x:v>0</x:v>
      </x:c>
      <x:c r="P334" s="21" t="n">
        <x:v>0</x:v>
      </x:c>
      <x:c r="Q334" s="21" t="n">
        <x:v>0</x:v>
      </x:c>
      <x:c r="R334" s="21" t="n">
        <x:v>0</x:v>
      </x:c>
      <x:c r="S334" s="21" t="n">
        <x:v>0</x:v>
      </x:c>
      <x:c r="T334" s="21" t="n">
        <x:v>0</x:v>
      </x:c>
      <x:c r="U334" s="21" t="n">
        <x:v>0</x:v>
      </x:c>
      <x:c r="V334" s="21" t="n">
        <x:v>0</x:v>
      </x:c>
      <x:c r="W334" s="21" t="n">
        <x:v>0</x:v>
      </x:c>
      <x:c r="X334" s="21" t="n">
        <x:v>0</x:v>
      </x:c>
      <x:c r="Y334" s="21" t="n">
        <x:v>0</x:v>
      </x:c>
      <x:c r="Z334" s="21" t="n">
        <x:v>0</x:v>
      </x:c>
      <x:c r="AA334" s="21" t="n">
        <x:v>0</x:v>
      </x:c>
      <x:c r="AB334" s="21" t="n">
        <x:v>0</x:v>
      </x:c>
      <x:c r="AC334" s="21" t="n">
        <x:v>0</x:v>
      </x:c>
      <x:c r="AD334" s="21" t="n">
        <x:v>0</x:v>
      </x:c>
      <x:c r="AE334" s="21" t="n">
        <x:v>0</x:v>
      </x:c>
      <x:c r="AF334" s="21" t="n">
        <x:v>0</x:v>
      </x:c>
      <x:c r="AG334" s="21" t="n">
        <x:v>2.2366751269035534</x:v>
      </x:c>
      <x:c r="AH334" s="21" t="n">
        <x:v>1.0736040609137054</x:v>
      </x:c>
      <x:c r="AI334" s="21" t="n">
        <x:v>0.0715736040609137</x:v>
      </x:c>
      <x:c r="AJ334" s="21" t="n">
        <x:v>21</x:v>
      </x:c>
      <x:c r="AK334" s="21" t="n">
        <x:v>340</x:v>
      </x:c>
      <x:c r="AL334" s="21" t="n">
        <x:v>2.2366751269035534</x:v>
      </x:c>
      <x:c r="AM334" s="21" t="n">
        <x:v>1</x:v>
      </x:c>
      <x:c r="AN334" s="21" t="n">
        <x:v>1</x:v>
      </x:c>
      <x:c r="AO334" s="21" t="n">
        <x:v>1</x:v>
      </x:c>
      <x:c r="AP334" s="21" t="n">
        <x:v>1</x:v>
      </x:c>
      <x:c r="AQ334" s="21" t="n">
        <x:v>0.94</x:v>
      </x:c>
      <x:c r="AR334" s="21" t="n">
        <x:v>1</x:v>
      </x:c>
      <x:c r="AS334" s="21" t="n">
        <x:v>1</x:v>
      </x:c>
      <x:c r="AT334" s="21" t="n">
        <x:v>1</x:v>
      </x:c>
      <x:c r="AU334" s="21" t="n">
        <x:v>0</x:v>
      </x:c>
      <x:c r="AV334" s="22" t="n">
        <x:f>IF(C334="QB",N334*0.04+O334*4-P334*2+R334*0.1+S334*6,IF(OR(C334="RB",C334="WR",C334="TE"),U334*0.1+V334*6+R334*0.1+S334*6+X334*0.5+Y334*0.1+Z334*6,IF(C334="K",AC334*3+AD334*4+AE334*5+AF334,IF(C334="DST",AG334+AH334*2+AI334*6+AL334,0))))</x:f>
        <x:v>7.05</x:v>
      </x:c>
      <x:c r="AW334" s="22" t="n">
        <x:f>(AV334+AU334)*G334</x:f>
        <x:v>7.05</x:v>
      </x:c>
      <x:c r="AX334" s="22" t="n">
        <x:f>MAX(0,AW334*IF(C334="QB",0.68,IF(C334="RB",0.58,IF(C334="WR",0.52,IF(C334="TE",0.50,IF(C334="K",0.55,0.40))))))</x:f>
        <x:v>2.8200000000000003</x:v>
      </x:c>
      <x:c r="AY334" s="22" t="n">
        <x:f>AW334*IF(C334="QB",1.32,IF(C334="RB",1.45,IF(C334="WR",1.55,IF(C334="TE",1.60,IF(C334="K",1.45,1.65)))))</x:f>
        <x:v>11.632499999999999</x:v>
      </x:c>
      <x:c r="AZ334" s="12" t="str">
        <x:v>High</x:v>
      </x:c>
      <x:c r="BA334" s="12" t="n">
        <x:v>3</x:v>
      </x:c>
      <x:c r="BB334" s="12" t="n">
        <x:f>COUNTIFS($C$2:$C$344,C334,$AW$2:$AW$344,"&gt;"&amp;AW334,$G$2:$G$344,"&gt;0")+COUNTIFS($C$2:C334,C334,$AW$2:AW334,AW334,$G$2:G334,"&gt;0")</x:f>
        <x:v>22</x:v>
      </x:c>
      <x:c r="BC334" s="12" t="n">
        <x:v>22</x:v>
      </x:c>
      <x:c r="BD334" s="12" t="str">
        <x:f>IF(BB334&lt;BC334,"↑",IF(BB334&gt;BC334,"↓","→"))</x:f>
        <x:v>→</x:v>
      </x:c>
      <x:c r="BE334" s="23" t="str">
        <x:v>Fantasy Football Brief ROS baseline; official NFL schedule</x:v>
      </x:c>
      <x:c r="BF334" s="23" t="str">
        <x:v>Current role and availability baseline; all adjustment factors shown numerically</x:v>
      </x:c>
      <x:c r="BG334" s="23" t="str">
        <x:v>Material injury, depth-chart, or role change</x:v>
      </x:c>
      <x:c r="BH334" s="24" t="str">
        <x:v>2026-09-23 10:35 CT</x:v>
      </x:c>
    </x:row>
    <x:row r="335">
      <x:c r="A335" s="12" t="str">
        <x:v>Cincinnati Bengals</x:v>
      </x:c>
      <x:c r="B335" s="12" t="str">
        <x:v>CIN</x:v>
      </x:c>
      <x:c r="C335" s="12" t="str">
        <x:v>DST</x:v>
      </x:c>
      <x:c r="D335" s="12" t="str">
        <x:v>PIT</x:v>
      </x:c>
      <x:c r="E335" s="12" t="str">
        <x:v>Away</x:v>
      </x:c>
      <x:c r="F335" s="12" t="str">
        <x:v>2026-09-27</x:v>
      </x:c>
      <x:c r="G335" s="19" t="n">
        <x:v>1</x:v>
      </x:c>
      <x:c r="H335" s="20" t="str">
        <x:v>ACTIVE</x:v>
      </x:c>
      <x:c r="I335" s="20" t="n">
        <x:v>62</x:v>
      </x:c>
      <x:c r="J335" s="20" t="str">
        <x:v>Defensive snaps</x:v>
      </x:c>
      <x:c r="K335" s="20" t="n">
        <x:v>62</x:v>
      </x:c>
      <x:c r="L335" s="21" t="n">
        <x:v>0</x:v>
      </x:c>
      <x:c r="M335" s="21" t="n">
        <x:v>0</x:v>
      </x:c>
      <x:c r="N335" s="21" t="n">
        <x:v>0</x:v>
      </x:c>
      <x:c r="O335" s="21" t="n">
        <x:v>0</x:v>
      </x:c>
      <x:c r="P335" s="21" t="n">
        <x:v>0</x:v>
      </x:c>
      <x:c r="Q335" s="21" t="n">
        <x:v>0</x:v>
      </x:c>
      <x:c r="R335" s="21" t="n">
        <x:v>0</x:v>
      </x:c>
      <x:c r="S335" s="21" t="n">
        <x:v>0</x:v>
      </x:c>
      <x:c r="T335" s="21" t="n">
        <x:v>0</x:v>
      </x:c>
      <x:c r="U335" s="21" t="n">
        <x:v>0</x:v>
      </x:c>
      <x:c r="V335" s="21" t="n">
        <x:v>0</x:v>
      </x:c>
      <x:c r="W335" s="21" t="n">
        <x:v>0</x:v>
      </x:c>
      <x:c r="X335" s="21" t="n">
        <x:v>0</x:v>
      </x:c>
      <x:c r="Y335" s="21" t="n">
        <x:v>0</x:v>
      </x:c>
      <x:c r="Z335" s="21" t="n">
        <x:v>0</x:v>
      </x:c>
      <x:c r="AA335" s="21" t="n">
        <x:v>0</x:v>
      </x:c>
      <x:c r="AB335" s="21" t="n">
        <x:v>0</x:v>
      </x:c>
      <x:c r="AC335" s="21" t="n">
        <x:v>0</x:v>
      </x:c>
      <x:c r="AD335" s="21" t="n">
        <x:v>0</x:v>
      </x:c>
      <x:c r="AE335" s="21" t="n">
        <x:v>0</x:v>
      </x:c>
      <x:c r="AF335" s="21" t="n">
        <x:v>0</x:v>
      </x:c>
      <x:c r="AG335" s="21" t="n">
        <x:v>2.1757296954314724</x:v>
      </x:c>
      <x:c r="AH335" s="21" t="n">
        <x:v>1.0443502538071066</x:v>
      </x:c>
      <x:c r="AI335" s="21" t="n">
        <x:v>0.06962335025380711</x:v>
      </x:c>
      <x:c r="AJ335" s="21" t="n">
        <x:v>21</x:v>
      </x:c>
      <x:c r="AK335" s="21" t="n">
        <x:v>340</x:v>
      </x:c>
      <x:c r="AL335" s="21" t="n">
        <x:v>2.1757296954314724</x:v>
      </x:c>
      <x:c r="AM335" s="21" t="n">
        <x:v>1</x:v>
      </x:c>
      <x:c r="AN335" s="21" t="n">
        <x:v>1</x:v>
      </x:c>
      <x:c r="AO335" s="21" t="n">
        <x:v>1</x:v>
      </x:c>
      <x:c r="AP335" s="21" t="n">
        <x:v>1.01</x:v>
      </x:c>
      <x:c r="AQ335" s="21" t="n">
        <x:v>0.97</x:v>
      </x:c>
      <x:c r="AR335" s="21" t="n">
        <x:v>1</x:v>
      </x:c>
      <x:c r="AS335" s="21" t="n">
        <x:v>1</x:v>
      </x:c>
      <x:c r="AT335" s="21" t="n">
        <x:v>1</x:v>
      </x:c>
      <x:c r="AU335" s="21" t="n">
        <x:v>0</x:v>
      </x:c>
      <x:c r="AV335" s="22" t="n">
        <x:f>IF(C335="QB",N335*0.04+O335*4-P335*2+R335*0.1+S335*6,IF(OR(C335="RB",C335="WR",C335="TE"),U335*0.1+V335*6+R335*0.1+S335*6+X335*0.5+Y335*0.1+Z335*6,IF(C335="K",AC335*3+AD335*4+AE335*5+AF335,IF(C335="DST",AG335+AH335*2+AI335*6+AL335,0))))</x:f>
        <x:v>6.857900000000001</x:v>
      </x:c>
      <x:c r="AW335" s="22" t="n">
        <x:f>(AV335+AU335)*G335</x:f>
        <x:v>6.857900000000001</x:v>
      </x:c>
      <x:c r="AX335" s="22" t="n">
        <x:f>MAX(0,AW335*IF(C335="QB",0.68,IF(C335="RB",0.58,IF(C335="WR",0.52,IF(C335="TE",0.50,IF(C335="K",0.55,0.40))))))</x:f>
        <x:v>2.7431600000000005</x:v>
      </x:c>
      <x:c r="AY335" s="22" t="n">
        <x:f>AW335*IF(C335="QB",1.32,IF(C335="RB",1.45,IF(C335="WR",1.55,IF(C335="TE",1.60,IF(C335="K",1.45,1.65)))))</x:f>
        <x:v>11.315535</x:v>
      </x:c>
      <x:c r="AZ335" s="12" t="str">
        <x:v>High</x:v>
      </x:c>
      <x:c r="BA335" s="12" t="n">
        <x:v>3</x:v>
      </x:c>
      <x:c r="BB335" s="12" t="n">
        <x:f>COUNTIFS($C$2:$C$344,C335,$AW$2:$AW$344,"&gt;"&amp;AW335,$G$2:$G$344,"&gt;0")+COUNTIFS($C$2:C335,C335,$AW$2:AW335,AW335,$G$2:G335,"&gt;0")</x:f>
        <x:v>23</x:v>
      </x:c>
      <x:c r="BC335" s="12" t="n">
        <x:v>23</x:v>
      </x:c>
      <x:c r="BD335" s="12" t="str">
        <x:f>IF(BB335&lt;BC335,"↑",IF(BB335&gt;BC335,"↓","→"))</x:f>
        <x:v>→</x:v>
      </x:c>
      <x:c r="BE335" s="23" t="str">
        <x:v>Fantasy Football Brief ROS baseline; official NFL schedule</x:v>
      </x:c>
      <x:c r="BF335" s="23" t="str">
        <x:v>Current role and availability baseline; all adjustment factors shown numerically</x:v>
      </x:c>
      <x:c r="BG335" s="23" t="str">
        <x:v>Material injury, depth-chart, or role change</x:v>
      </x:c>
      <x:c r="BH335" s="24" t="str">
        <x:v>2026-09-23 10:35 CT</x:v>
      </x:c>
    </x:row>
    <x:row r="336">
      <x:c r="A336" s="12" t="str">
        <x:v>Tennessee Titans</x:v>
      </x:c>
      <x:c r="B336" s="12" t="str">
        <x:v>TEN</x:v>
      </x:c>
      <x:c r="C336" s="12" t="str">
        <x:v>DST</x:v>
      </x:c>
      <x:c r="D336" s="12" t="str">
        <x:v>NYG</x:v>
      </x:c>
      <x:c r="E336" s="12" t="str">
        <x:v>Away</x:v>
      </x:c>
      <x:c r="F336" s="12" t="str">
        <x:v>2026-09-27</x:v>
      </x:c>
      <x:c r="G336" s="19" t="n">
        <x:v>1</x:v>
      </x:c>
      <x:c r="H336" s="20" t="str">
        <x:v>ACTIVE</x:v>
      </x:c>
      <x:c r="I336" s="20" t="n">
        <x:v>62</x:v>
      </x:c>
      <x:c r="J336" s="20" t="str">
        <x:v>Defensive snaps</x:v>
      </x:c>
      <x:c r="K336" s="20" t="n">
        <x:v>62</x:v>
      </x:c>
      <x:c r="L336" s="21" t="n">
        <x:v>0</x:v>
      </x:c>
      <x:c r="M336" s="21" t="n">
        <x:v>0</x:v>
      </x:c>
      <x:c r="N336" s="21" t="n">
        <x:v>0</x:v>
      </x:c>
      <x:c r="O336" s="21" t="n">
        <x:v>0</x:v>
      </x:c>
      <x:c r="P336" s="21" t="n">
        <x:v>0</x:v>
      </x:c>
      <x:c r="Q336" s="21" t="n">
        <x:v>0</x:v>
      </x:c>
      <x:c r="R336" s="21" t="n">
        <x:v>0</x:v>
      </x:c>
      <x:c r="S336" s="21" t="n">
        <x:v>0</x:v>
      </x:c>
      <x:c r="T336" s="21" t="n">
        <x:v>0</x:v>
      </x:c>
      <x:c r="U336" s="21" t="n">
        <x:v>0</x:v>
      </x:c>
      <x:c r="V336" s="21" t="n">
        <x:v>0</x:v>
      </x:c>
      <x:c r="W336" s="21" t="n">
        <x:v>0</x:v>
      </x:c>
      <x:c r="X336" s="21" t="n">
        <x:v>0</x:v>
      </x:c>
      <x:c r="Y336" s="21" t="n">
        <x:v>0</x:v>
      </x:c>
      <x:c r="Z336" s="21" t="n">
        <x:v>0</x:v>
      </x:c>
      <x:c r="AA336" s="21" t="n">
        <x:v>0</x:v>
      </x:c>
      <x:c r="AB336" s="21" t="n">
        <x:v>0</x:v>
      </x:c>
      <x:c r="AC336" s="21" t="n">
        <x:v>0</x:v>
      </x:c>
      <x:c r="AD336" s="21" t="n">
        <x:v>0</x:v>
      </x:c>
      <x:c r="AE336" s="21" t="n">
        <x:v>0</x:v>
      </x:c>
      <x:c r="AF336" s="21" t="n">
        <x:v>0</x:v>
      </x:c>
      <x:c r="AG336" s="21" t="n">
        <x:v>2.164568527918782</x:v>
      </x:c>
      <x:c r="AH336" s="21" t="n">
        <x:v>1.038992893401015</x:v>
      </x:c>
      <x:c r="AI336" s="21" t="n">
        <x:v>0.06926619289340102</x:v>
      </x:c>
      <x:c r="AJ336" s="21" t="n">
        <x:v>21</x:v>
      </x:c>
      <x:c r="AK336" s="21" t="n">
        <x:v>340</x:v>
      </x:c>
      <x:c r="AL336" s="21" t="n">
        <x:v>2.164568527918782</x:v>
      </x:c>
      <x:c r="AM336" s="21" t="n">
        <x:v>1</x:v>
      </x:c>
      <x:c r="AN336" s="21" t="n">
        <x:v>1</x:v>
      </x:c>
      <x:c r="AO336" s="21" t="n">
        <x:v>1</x:v>
      </x:c>
      <x:c r="AP336" s="21" t="n">
        <x:v>0.96</x:v>
      </x:c>
      <x:c r="AQ336" s="21" t="n">
        <x:v>1.03</x:v>
      </x:c>
      <x:c r="AR336" s="21" t="n">
        <x:v>1</x:v>
      </x:c>
      <x:c r="AS336" s="21" t="n">
        <x:v>1</x:v>
      </x:c>
      <x:c r="AT336" s="21" t="n">
        <x:v>1</x:v>
      </x:c>
      <x:c r="AU336" s="21" t="n">
        <x:v>0</x:v>
      </x:c>
      <x:c r="AV336" s="22" t="n">
        <x:f>IF(C336="QB",N336*0.04+O336*4-P336*2+R336*0.1+S336*6,IF(OR(C336="RB",C336="WR",C336="TE"),U336*0.1+V336*6+R336*0.1+S336*6+X336*0.5+Y336*0.1+Z336*6,IF(C336="K",AC336*3+AD336*4+AE336*5+AF336,IF(C336="DST",AG336+AH336*2+AI336*6+AL336,0))))</x:f>
        <x:v>6.82272</x:v>
      </x:c>
      <x:c r="AW336" s="22" t="n">
        <x:f>(AV336+AU336)*G336</x:f>
        <x:v>6.82272</x:v>
      </x:c>
      <x:c r="AX336" s="22" t="n">
        <x:f>MAX(0,AW336*IF(C336="QB",0.68,IF(C336="RB",0.58,IF(C336="WR",0.52,IF(C336="TE",0.50,IF(C336="K",0.55,0.40))))))</x:f>
        <x:v>2.7290880000000004</x:v>
      </x:c>
      <x:c r="AY336" s="22" t="n">
        <x:f>AW336*IF(C336="QB",1.32,IF(C336="RB",1.45,IF(C336="WR",1.55,IF(C336="TE",1.60,IF(C336="K",1.45,1.65)))))</x:f>
        <x:v>11.257488</x:v>
      </x:c>
      <x:c r="AZ336" s="12" t="str">
        <x:v>High</x:v>
      </x:c>
      <x:c r="BA336" s="12" t="n">
        <x:v>3</x:v>
      </x:c>
      <x:c r="BB336" s="12" t="n">
        <x:f>COUNTIFS($C$2:$C$344,C336,$AW$2:$AW$344,"&gt;"&amp;AW336,$G$2:$G$344,"&gt;0")+COUNTIFS($C$2:C336,C336,$AW$2:AW336,AW336,$G$2:G336,"&gt;0")</x:f>
        <x:v>24</x:v>
      </x:c>
      <x:c r="BC336" s="12" t="n">
        <x:v>24</x:v>
      </x:c>
      <x:c r="BD336" s="12" t="str">
        <x:f>IF(BB336&lt;BC336,"↑",IF(BB336&gt;BC336,"↓","→"))</x:f>
        <x:v>→</x:v>
      </x:c>
      <x:c r="BE336" s="23" t="str">
        <x:v>Fantasy Football Brief ROS baseline; official NFL schedule</x:v>
      </x:c>
      <x:c r="BF336" s="23" t="str">
        <x:v>Current role and availability baseline; all adjustment factors shown numerically</x:v>
      </x:c>
      <x:c r="BG336" s="23" t="str">
        <x:v>Material injury, depth-chart, or role change</x:v>
      </x:c>
      <x:c r="BH336" s="24" t="str">
        <x:v>2026-09-23 10:35 CT</x:v>
      </x:c>
    </x:row>
    <x:row r="337">
      <x:c r="A337" s="12" t="str">
        <x:v>Atlanta Falcons</x:v>
      </x:c>
      <x:c r="B337" s="12" t="str">
        <x:v>ATL</x:v>
      </x:c>
      <x:c r="C337" s="12" t="str">
        <x:v>DST</x:v>
      </x:c>
      <x:c r="D337" s="12" t="str">
        <x:v>GB</x:v>
      </x:c>
      <x:c r="E337" s="12" t="str">
        <x:v>Away</x:v>
      </x:c>
      <x:c r="F337" s="12" t="str">
        <x:v>2026-09-24</x:v>
      </x:c>
      <x:c r="G337" s="19" t="n">
        <x:v>1</x:v>
      </x:c>
      <x:c r="H337" s="20" t="str">
        <x:v>ACTIVE</x:v>
      </x:c>
      <x:c r="I337" s="20" t="n">
        <x:v>62</x:v>
      </x:c>
      <x:c r="J337" s="20" t="str">
        <x:v>Defensive snaps</x:v>
      </x:c>
      <x:c r="K337" s="20" t="n">
        <x:v>62</x:v>
      </x:c>
      <x:c r="L337" s="21" t="n">
        <x:v>0</x:v>
      </x:c>
      <x:c r="M337" s="21" t="n">
        <x:v>0</x:v>
      </x:c>
      <x:c r="N337" s="21" t="n">
        <x:v>0</x:v>
      </x:c>
      <x:c r="O337" s="21" t="n">
        <x:v>0</x:v>
      </x:c>
      <x:c r="P337" s="21" t="n">
        <x:v>0</x:v>
      </x:c>
      <x:c r="Q337" s="21" t="n">
        <x:v>0</x:v>
      </x:c>
      <x:c r="R337" s="21" t="n">
        <x:v>0</x:v>
      </x:c>
      <x:c r="S337" s="21" t="n">
        <x:v>0</x:v>
      </x:c>
      <x:c r="T337" s="21" t="n">
        <x:v>0</x:v>
      </x:c>
      <x:c r="U337" s="21" t="n">
        <x:v>0</x:v>
      </x:c>
      <x:c r="V337" s="21" t="n">
        <x:v>0</x:v>
      </x:c>
      <x:c r="W337" s="21" t="n">
        <x:v>0</x:v>
      </x:c>
      <x:c r="X337" s="21" t="n">
        <x:v>0</x:v>
      </x:c>
      <x:c r="Y337" s="21" t="n">
        <x:v>0</x:v>
      </x:c>
      <x:c r="Z337" s="21" t="n">
        <x:v>0</x:v>
      </x:c>
      <x:c r="AA337" s="21" t="n">
        <x:v>0</x:v>
      </x:c>
      <x:c r="AB337" s="21" t="n">
        <x:v>0</x:v>
      </x:c>
      <x:c r="AC337" s="21" t="n">
        <x:v>0</x:v>
      </x:c>
      <x:c r="AD337" s="21" t="n">
        <x:v>0</x:v>
      </x:c>
      <x:c r="AE337" s="21" t="n">
        <x:v>0</x:v>
      </x:c>
      <x:c r="AF337" s="21" t="n">
        <x:v>0</x:v>
      </x:c>
      <x:c r="AG337" s="21" t="n">
        <x:v>2.156649746192893</x:v>
      </x:c>
      <x:c r="AH337" s="21" t="n">
        <x:v>1.0351918781725886</x:v>
      </x:c>
      <x:c r="AI337" s="21" t="n">
        <x:v>0.06901279187817258</x:v>
      </x:c>
      <x:c r="AJ337" s="21" t="n">
        <x:v>21</x:v>
      </x:c>
      <x:c r="AK337" s="21" t="n">
        <x:v>340</x:v>
      </x:c>
      <x:c r="AL337" s="21" t="n">
        <x:v>2.156649746192893</x:v>
      </x:c>
      <x:c r="AM337" s="21" t="n">
        <x:v>1</x:v>
      </x:c>
      <x:c r="AN337" s="21" t="n">
        <x:v>1</x:v>
      </x:c>
      <x:c r="AO337" s="21" t="n">
        <x:v>1</x:v>
      </x:c>
      <x:c r="AP337" s="21" t="n">
        <x:v>0.97</x:v>
      </x:c>
      <x:c r="AQ337" s="21" t="n">
        <x:v>0.96</x:v>
      </x:c>
      <x:c r="AR337" s="21" t="n">
        <x:v>1</x:v>
      </x:c>
      <x:c r="AS337" s="21" t="n">
        <x:v>1</x:v>
      </x:c>
      <x:c r="AT337" s="21" t="n">
        <x:v>1</x:v>
      </x:c>
      <x:c r="AU337" s="21" t="n">
        <x:v>0</x:v>
      </x:c>
      <x:c r="AV337" s="22" t="n">
        <x:f>IF(C337="QB",N337*0.04+O337*4-P337*2+R337*0.1+S337*6,IF(OR(C337="RB",C337="WR",C337="TE"),U337*0.1+V337*6+R337*0.1+S337*6+X337*0.5+Y337*0.1+Z337*6,IF(C337="K",AC337*3+AD337*4+AE337*5+AF337,IF(C337="DST",AG337+AH337*2+AI337*6+AL337,0))))</x:f>
        <x:v>6.7977599999999985</x:v>
      </x:c>
      <x:c r="AW337" s="22" t="n">
        <x:f>(AV337+AU337)*G337</x:f>
        <x:v>6.7977599999999985</x:v>
      </x:c>
      <x:c r="AX337" s="22" t="n">
        <x:f>MAX(0,AW337*IF(C337="QB",0.68,IF(C337="RB",0.58,IF(C337="WR",0.52,IF(C337="TE",0.50,IF(C337="K",0.55,0.40))))))</x:f>
        <x:v>2.7191039999999997</x:v>
      </x:c>
      <x:c r="AY337" s="22" t="n">
        <x:f>AW337*IF(C337="QB",1.32,IF(C337="RB",1.45,IF(C337="WR",1.55,IF(C337="TE",1.60,IF(C337="K",1.45,1.65)))))</x:f>
        <x:v>11.216303999999997</x:v>
      </x:c>
      <x:c r="AZ337" s="12" t="str">
        <x:v>High</x:v>
      </x:c>
      <x:c r="BA337" s="12" t="n">
        <x:v>4</x:v>
      </x:c>
      <x:c r="BB337" s="12" t="n">
        <x:f>COUNTIFS($C$2:$C$344,C337,$AW$2:$AW$344,"&gt;"&amp;AW337,$G$2:$G$344,"&gt;0")+COUNTIFS($C$2:C337,C337,$AW$2:AW337,AW337,$G$2:G337,"&gt;0")</x:f>
        <x:v>25</x:v>
      </x:c>
      <x:c r="BC337" s="12" t="n">
        <x:v>25</x:v>
      </x:c>
      <x:c r="BD337" s="12" t="str">
        <x:f>IF(BB337&lt;BC337,"↑",IF(BB337&gt;BC337,"↓","→"))</x:f>
        <x:v>→</x:v>
      </x:c>
      <x:c r="BE337" s="23" t="str">
        <x:v>Fantasy Football Brief ROS baseline; official NFL schedule</x:v>
      </x:c>
      <x:c r="BF337" s="23" t="str">
        <x:v>Current role and availability baseline; all adjustment factors shown numerically</x:v>
      </x:c>
      <x:c r="BG337" s="23" t="str">
        <x:v>Material injury, depth-chart, or role change</x:v>
      </x:c>
      <x:c r="BH337" s="24" t="str">
        <x:v>2026-09-23 10:35 CT</x:v>
      </x:c>
    </x:row>
    <x:row r="338">
      <x:c r="A338" s="12" t="str">
        <x:v>Las Vegas Raiders</x:v>
      </x:c>
      <x:c r="B338" s="12" t="str">
        <x:v>LV</x:v>
      </x:c>
      <x:c r="C338" s="12" t="str">
        <x:v>DST</x:v>
      </x:c>
      <x:c r="D338" s="12" t="str">
        <x:v>NO</x:v>
      </x:c>
      <x:c r="E338" s="12" t="str">
        <x:v>Away</x:v>
      </x:c>
      <x:c r="F338" s="12" t="str">
        <x:v>2026-09-27</x:v>
      </x:c>
      <x:c r="G338" s="19" t="n">
        <x:v>1</x:v>
      </x:c>
      <x:c r="H338" s="20" t="str">
        <x:v>ACTIVE</x:v>
      </x:c>
      <x:c r="I338" s="20" t="n">
        <x:v>62</x:v>
      </x:c>
      <x:c r="J338" s="20" t="str">
        <x:v>Defensive snaps</x:v>
      </x:c>
      <x:c r="K338" s="20" t="n">
        <x:v>62</x:v>
      </x:c>
      <x:c r="L338" s="21" t="n">
        <x:v>0</x:v>
      </x:c>
      <x:c r="M338" s="21" t="n">
        <x:v>0</x:v>
      </x:c>
      <x:c r="N338" s="21" t="n">
        <x:v>0</x:v>
      </x:c>
      <x:c r="O338" s="21" t="n">
        <x:v>0</x:v>
      </x:c>
      <x:c r="P338" s="21" t="n">
        <x:v>0</x:v>
      </x:c>
      <x:c r="Q338" s="21" t="n">
        <x:v>0</x:v>
      </x:c>
      <x:c r="R338" s="21" t="n">
        <x:v>0</x:v>
      </x:c>
      <x:c r="S338" s="21" t="n">
        <x:v>0</x:v>
      </x:c>
      <x:c r="T338" s="21" t="n">
        <x:v>0</x:v>
      </x:c>
      <x:c r="U338" s="21" t="n">
        <x:v>0</x:v>
      </x:c>
      <x:c r="V338" s="21" t="n">
        <x:v>0</x:v>
      </x:c>
      <x:c r="W338" s="21" t="n">
        <x:v>0</x:v>
      </x:c>
      <x:c r="X338" s="21" t="n">
        <x:v>0</x:v>
      </x:c>
      <x:c r="Y338" s="21" t="n">
        <x:v>0</x:v>
      </x:c>
      <x:c r="Z338" s="21" t="n">
        <x:v>0</x:v>
      </x:c>
      <x:c r="AA338" s="21" t="n">
        <x:v>0</x:v>
      </x:c>
      <x:c r="AB338" s="21" t="n">
        <x:v>0</x:v>
      </x:c>
      <x:c r="AC338" s="21" t="n">
        <x:v>0</x:v>
      </x:c>
      <x:c r="AD338" s="21" t="n">
        <x:v>0</x:v>
      </x:c>
      <x:c r="AE338" s="21" t="n">
        <x:v>0</x:v>
      </x:c>
      <x:c r="AF338" s="21" t="n">
        <x:v>0</x:v>
      </x:c>
      <x:c r="AG338" s="21" t="n">
        <x:v>2.124784263959391</x:v>
      </x:c>
      <x:c r="AH338" s="21" t="n">
        <x:v>1.0198964467005078</x:v>
      </x:c>
      <x:c r="AI338" s="21" t="n">
        <x:v>0.06799309644670051</x:v>
      </x:c>
      <x:c r="AJ338" s="21" t="n">
        <x:v>21</x:v>
      </x:c>
      <x:c r="AK338" s="21" t="n">
        <x:v>340</x:v>
      </x:c>
      <x:c r="AL338" s="21" t="n">
        <x:v>2.124784263959391</x:v>
      </x:c>
      <x:c r="AM338" s="21" t="n">
        <x:v>1</x:v>
      </x:c>
      <x:c r="AN338" s="21" t="n">
        <x:v>1</x:v>
      </x:c>
      <x:c r="AO338" s="21" t="n">
        <x:v>1</x:v>
      </x:c>
      <x:c r="AP338" s="21" t="n">
        <x:v>0.98</x:v>
      </x:c>
      <x:c r="AQ338" s="21" t="n">
        <x:v>1.02</x:v>
      </x:c>
      <x:c r="AR338" s="21" t="n">
        <x:v>1</x:v>
      </x:c>
      <x:c r="AS338" s="21" t="n">
        <x:v>1</x:v>
      </x:c>
      <x:c r="AT338" s="21" t="n">
        <x:v>1</x:v>
      </x:c>
      <x:c r="AU338" s="21" t="n">
        <x:v>0</x:v>
      </x:c>
      <x:c r="AV338" s="22" t="n">
        <x:f>IF(C338="QB",N338*0.04+O338*4-P338*2+R338*0.1+S338*6,IF(OR(C338="RB",C338="WR",C338="TE"),U338*0.1+V338*6+R338*0.1+S338*6+X338*0.5+Y338*0.1+Z338*6,IF(C338="K",AC338*3+AD338*4+AE338*5+AF338,IF(C338="DST",AG338+AH338*2+AI338*6+AL338,0))))</x:f>
        <x:v>6.697320000000001</x:v>
      </x:c>
      <x:c r="AW338" s="22" t="n">
        <x:f>(AV338+AU338)*G338</x:f>
        <x:v>6.697320000000001</x:v>
      </x:c>
      <x:c r="AX338" s="22" t="n">
        <x:f>MAX(0,AW338*IF(C338="QB",0.68,IF(C338="RB",0.58,IF(C338="WR",0.52,IF(C338="TE",0.50,IF(C338="K",0.55,0.40))))))</x:f>
        <x:v>2.678928000000001</x:v>
      </x:c>
      <x:c r="AY338" s="22" t="n">
        <x:f>AW338*IF(C338="QB",1.32,IF(C338="RB",1.45,IF(C338="WR",1.55,IF(C338="TE",1.60,IF(C338="K",1.45,1.65)))))</x:f>
        <x:v>11.050578000000002</x:v>
      </x:c>
      <x:c r="AZ338" s="12" t="str">
        <x:v>High</x:v>
      </x:c>
      <x:c r="BA338" s="12" t="n">
        <x:v>4</x:v>
      </x:c>
      <x:c r="BB338" s="12" t="n">
        <x:f>COUNTIFS($C$2:$C$344,C338,$AW$2:$AW$344,"&gt;"&amp;AW338,$G$2:$G$344,"&gt;0")+COUNTIFS($C$2:C338,C338,$AW$2:AW338,AW338,$G$2:G338,"&gt;0")</x:f>
        <x:v>26</x:v>
      </x:c>
      <x:c r="BC338" s="12" t="n">
        <x:v>26</x:v>
      </x:c>
      <x:c r="BD338" s="12" t="str">
        <x:f>IF(BB338&lt;BC338,"↑",IF(BB338&gt;BC338,"↓","→"))</x:f>
        <x:v>→</x:v>
      </x:c>
      <x:c r="BE338" s="23" t="str">
        <x:v>Fantasy Football Brief ROS baseline; official NFL schedule</x:v>
      </x:c>
      <x:c r="BF338" s="23" t="str">
        <x:v>Current role and availability baseline; all adjustment factors shown numerically</x:v>
      </x:c>
      <x:c r="BG338" s="23" t="str">
        <x:v>Material injury, depth-chart, or role change</x:v>
      </x:c>
      <x:c r="BH338" s="24" t="str">
        <x:v>2026-09-23 10:35 CT</x:v>
      </x:c>
    </x:row>
    <x:row r="339">
      <x:c r="A339" s="12" t="str">
        <x:v>Chicago Bears</x:v>
      </x:c>
      <x:c r="B339" s="12" t="str">
        <x:v>CHI</x:v>
      </x:c>
      <x:c r="C339" s="12" t="str">
        <x:v>DST</x:v>
      </x:c>
      <x:c r="D339" s="12" t="str">
        <x:v>PHI</x:v>
      </x:c>
      <x:c r="E339" s="12" t="str">
        <x:v>Home</x:v>
      </x:c>
      <x:c r="F339" s="12" t="str">
        <x:v>2026-09-28</x:v>
      </x:c>
      <x:c r="G339" s="19" t="n">
        <x:v>1</x:v>
      </x:c>
      <x:c r="H339" s="20" t="str">
        <x:v>ACTIVE</x:v>
      </x:c>
      <x:c r="I339" s="20" t="n">
        <x:v>62</x:v>
      </x:c>
      <x:c r="J339" s="20" t="str">
        <x:v>Defensive snaps</x:v>
      </x:c>
      <x:c r="K339" s="20" t="n">
        <x:v>62</x:v>
      </x:c>
      <x:c r="L339" s="21" t="n">
        <x:v>0</x:v>
      </x:c>
      <x:c r="M339" s="21" t="n">
        <x:v>0</x:v>
      </x:c>
      <x:c r="N339" s="21" t="n">
        <x:v>0</x:v>
      </x:c>
      <x:c r="O339" s="21" t="n">
        <x:v>0</x:v>
      </x:c>
      <x:c r="P339" s="21" t="n">
        <x:v>0</x:v>
      </x:c>
      <x:c r="Q339" s="21" t="n">
        <x:v>0</x:v>
      </x:c>
      <x:c r="R339" s="21" t="n">
        <x:v>0</x:v>
      </x:c>
      <x:c r="S339" s="21" t="n">
        <x:v>0</x:v>
      </x:c>
      <x:c r="T339" s="21" t="n">
        <x:v>0</x:v>
      </x:c>
      <x:c r="U339" s="21" t="n">
        <x:v>0</x:v>
      </x:c>
      <x:c r="V339" s="21" t="n">
        <x:v>0</x:v>
      </x:c>
      <x:c r="W339" s="21" t="n">
        <x:v>0</x:v>
      </x:c>
      <x:c r="X339" s="21" t="n">
        <x:v>0</x:v>
      </x:c>
      <x:c r="Y339" s="21" t="n">
        <x:v>0</x:v>
      </x:c>
      <x:c r="Z339" s="21" t="n">
        <x:v>0</x:v>
      </x:c>
      <x:c r="AA339" s="21" t="n">
        <x:v>0</x:v>
      </x:c>
      <x:c r="AB339" s="21" t="n">
        <x:v>0</x:v>
      </x:c>
      <x:c r="AC339" s="21" t="n">
        <x:v>0</x:v>
      </x:c>
      <x:c r="AD339" s="21" t="n">
        <x:v>0</x:v>
      </x:c>
      <x:c r="AE339" s="21" t="n">
        <x:v>0</x:v>
      </x:c>
      <x:c r="AF339" s="21" t="n">
        <x:v>0</x:v>
      </x:c>
      <x:c r="AG339" s="21" t="n">
        <x:v>2.1185786802030457</x:v>
      </x:c>
      <x:c r="AH339" s="21" t="n">
        <x:v>1.0169177664974618</x:v>
      </x:c>
      <x:c r="AI339" s="21" t="n">
        <x:v>0.06779451776649746</x:v>
      </x:c>
      <x:c r="AJ339" s="21" t="n">
        <x:v>21</x:v>
      </x:c>
      <x:c r="AK339" s="21" t="n">
        <x:v>340</x:v>
      </x:c>
      <x:c r="AL339" s="21" t="n">
        <x:v>2.1185786802030457</x:v>
      </x:c>
      <x:c r="AM339" s="21" t="n">
        <x:v>1</x:v>
      </x:c>
      <x:c r="AN339" s="21" t="n">
        <x:v>1</x:v>
      </x:c>
      <x:c r="AO339" s="21" t="n">
        <x:v>1</x:v>
      </x:c>
      <x:c r="AP339" s="21" t="n">
        <x:v>0.96</x:v>
      </x:c>
      <x:c r="AQ339" s="21" t="n">
        <x:v>0.94</x:v>
      </x:c>
      <x:c r="AR339" s="21" t="n">
        <x:v>1</x:v>
      </x:c>
      <x:c r="AS339" s="21" t="n">
        <x:v>1</x:v>
      </x:c>
      <x:c r="AT339" s="21" t="n">
        <x:v>1</x:v>
      </x:c>
      <x:c r="AU339" s="21" t="n">
        <x:v>0</x:v>
      </x:c>
      <x:c r="AV339" s="22" t="n">
        <x:f>IF(C339="QB",N339*0.04+O339*4-P339*2+R339*0.1+S339*6,IF(OR(C339="RB",C339="WR",C339="TE"),U339*0.1+V339*6+R339*0.1+S339*6+X339*0.5+Y339*0.1+Z339*6,IF(C339="K",AC339*3+AD339*4+AE339*5+AF339,IF(C339="DST",AG339+AH339*2+AI339*6+AL339,0))))</x:f>
        <x:v>6.677760000000001</x:v>
      </x:c>
      <x:c r="AW339" s="22" t="n">
        <x:f>(AV339+AU339)*G339</x:f>
        <x:v>6.677760000000001</x:v>
      </x:c>
      <x:c r="AX339" s="22" t="n">
        <x:f>MAX(0,AW339*IF(C339="QB",0.68,IF(C339="RB",0.58,IF(C339="WR",0.52,IF(C339="TE",0.50,IF(C339="K",0.55,0.40))))))</x:f>
        <x:v>2.6711040000000006</x:v>
      </x:c>
      <x:c r="AY339" s="22" t="n">
        <x:f>AW339*IF(C339="QB",1.32,IF(C339="RB",1.45,IF(C339="WR",1.55,IF(C339="TE",1.60,IF(C339="K",1.45,1.65)))))</x:f>
        <x:v>11.018304</x:v>
      </x:c>
      <x:c r="AZ339" s="12" t="str">
        <x:v>High</x:v>
      </x:c>
      <x:c r="BA339" s="12" t="n">
        <x:v>4</x:v>
      </x:c>
      <x:c r="BB339" s="12" t="n">
        <x:f>COUNTIFS($C$2:$C$344,C339,$AW$2:$AW$344,"&gt;"&amp;AW339,$G$2:$G$344,"&gt;0")+COUNTIFS($C$2:C339,C339,$AW$2:AW339,AW339,$G$2:G339,"&gt;0")</x:f>
        <x:v>27</x:v>
      </x:c>
      <x:c r="BC339" s="12" t="n">
        <x:v>27</x:v>
      </x:c>
      <x:c r="BD339" s="12" t="str">
        <x:f>IF(BB339&lt;BC339,"↑",IF(BB339&gt;BC339,"↓","→"))</x:f>
        <x:v>→</x:v>
      </x:c>
      <x:c r="BE339" s="23" t="str">
        <x:v>Fantasy Football Brief ROS baseline; official NFL schedule</x:v>
      </x:c>
      <x:c r="BF339" s="23" t="str">
        <x:v>Current role and availability baseline; all adjustment factors shown numerically</x:v>
      </x:c>
      <x:c r="BG339" s="23" t="str">
        <x:v>Material injury, depth-chart, or role change</x:v>
      </x:c>
      <x:c r="BH339" s="24" t="str">
        <x:v>2026-09-23 10:35 CT</x:v>
      </x:c>
    </x:row>
    <x:row r="340">
      <x:c r="A340" s="12" t="str">
        <x:v>New York Jets</x:v>
      </x:c>
      <x:c r="B340" s="12" t="str">
        <x:v>NYJ</x:v>
      </x:c>
      <x:c r="C340" s="12" t="str">
        <x:v>DST</x:v>
      </x:c>
      <x:c r="D340" s="12" t="str">
        <x:v>DET</x:v>
      </x:c>
      <x:c r="E340" s="12" t="str">
        <x:v>Away</x:v>
      </x:c>
      <x:c r="F340" s="12" t="str">
        <x:v>2026-09-27</x:v>
      </x:c>
      <x:c r="G340" s="19" t="n">
        <x:v>1</x:v>
      </x:c>
      <x:c r="H340" s="20" t="str">
        <x:v>ACTIVE</x:v>
      </x:c>
      <x:c r="I340" s="20" t="n">
        <x:v>62</x:v>
      </x:c>
      <x:c r="J340" s="20" t="str">
        <x:v>Defensive snaps</x:v>
      </x:c>
      <x:c r="K340" s="20" t="n">
        <x:v>62</x:v>
      </x:c>
      <x:c r="L340" s="21" t="n">
        <x:v>0</x:v>
      </x:c>
      <x:c r="M340" s="21" t="n">
        <x:v>0</x:v>
      </x:c>
      <x:c r="N340" s="21" t="n">
        <x:v>0</x:v>
      </x:c>
      <x:c r="O340" s="21" t="n">
        <x:v>0</x:v>
      </x:c>
      <x:c r="P340" s="21" t="n">
        <x:v>0</x:v>
      </x:c>
      <x:c r="Q340" s="21" t="n">
        <x:v>0</x:v>
      </x:c>
      <x:c r="R340" s="21" t="n">
        <x:v>0</x:v>
      </x:c>
      <x:c r="S340" s="21" t="n">
        <x:v>0</x:v>
      </x:c>
      <x:c r="T340" s="21" t="n">
        <x:v>0</x:v>
      </x:c>
      <x:c r="U340" s="21" t="n">
        <x:v>0</x:v>
      </x:c>
      <x:c r="V340" s="21" t="n">
        <x:v>0</x:v>
      </x:c>
      <x:c r="W340" s="21" t="n">
        <x:v>0</x:v>
      </x:c>
      <x:c r="X340" s="21" t="n">
        <x:v>0</x:v>
      </x:c>
      <x:c r="Y340" s="21" t="n">
        <x:v>0</x:v>
      </x:c>
      <x:c r="Z340" s="21" t="n">
        <x:v>0</x:v>
      </x:c>
      <x:c r="AA340" s="21" t="n">
        <x:v>0</x:v>
      </x:c>
      <x:c r="AB340" s="21" t="n">
        <x:v>0</x:v>
      </x:c>
      <x:c r="AC340" s="21" t="n">
        <x:v>0</x:v>
      </x:c>
      <x:c r="AD340" s="21" t="n">
        <x:v>0</x:v>
      </x:c>
      <x:c r="AE340" s="21" t="n">
        <x:v>0</x:v>
      </x:c>
      <x:c r="AF340" s="21" t="n">
        <x:v>0</x:v>
      </x:c>
      <x:c r="AG340" s="21" t="n">
        <x:v>2.1123350253807103</x:v>
      </x:c>
      <x:c r="AH340" s="21" t="n">
        <x:v>1.013920812182741</x:v>
      </x:c>
      <x:c r="AI340" s="21" t="n">
        <x:v>0.06759472081218273</x:v>
      </x:c>
      <x:c r="AJ340" s="21" t="n">
        <x:v>21</x:v>
      </x:c>
      <x:c r="AK340" s="21" t="n">
        <x:v>340</x:v>
      </x:c>
      <x:c r="AL340" s="21" t="n">
        <x:v>2.1123350253807103</x:v>
      </x:c>
      <x:c r="AM340" s="21" t="n">
        <x:v>1</x:v>
      </x:c>
      <x:c r="AN340" s="21" t="n">
        <x:v>1</x:v>
      </x:c>
      <x:c r="AO340" s="21" t="n">
        <x:v>1</x:v>
      </x:c>
      <x:c r="AP340" s="21" t="n">
        <x:v>0.97</x:v>
      </x:c>
      <x:c r="AQ340" s="21" t="n">
        <x:v>1.04</x:v>
      </x:c>
      <x:c r="AR340" s="21" t="n">
        <x:v>1</x:v>
      </x:c>
      <x:c r="AS340" s="21" t="n">
        <x:v>1</x:v>
      </x:c>
      <x:c r="AT340" s="21" t="n">
        <x:v>1</x:v>
      </x:c>
      <x:c r="AU340" s="21" t="n">
        <x:v>0</x:v>
      </x:c>
      <x:c r="AV340" s="22" t="n">
        <x:f>IF(C340="QB",N340*0.04+O340*4-P340*2+R340*0.1+S340*6,IF(OR(C340="RB",C340="WR",C340="TE"),U340*0.1+V340*6+R340*0.1+S340*6+X340*0.5+Y340*0.1+Z340*6,IF(C340="K",AC340*3+AD340*4+AE340*5+AF340,IF(C340="DST",AG340+AH340*2+AI340*6+AL340,0))))</x:f>
        <x:v>6.658079999999998</x:v>
      </x:c>
      <x:c r="AW340" s="22" t="n">
        <x:f>(AV340+AU340)*G340</x:f>
        <x:v>6.658079999999998</x:v>
      </x:c>
      <x:c r="AX340" s="22" t="n">
        <x:f>MAX(0,AW340*IF(C340="QB",0.68,IF(C340="RB",0.58,IF(C340="WR",0.52,IF(C340="TE",0.50,IF(C340="K",0.55,0.40))))))</x:f>
        <x:v>2.6632319999999994</x:v>
      </x:c>
      <x:c r="AY340" s="22" t="n">
        <x:f>AW340*IF(C340="QB",1.32,IF(C340="RB",1.45,IF(C340="WR",1.55,IF(C340="TE",1.60,IF(C340="K",1.45,1.65)))))</x:f>
        <x:v>10.985831999999997</x:v>
      </x:c>
      <x:c r="AZ340" s="12" t="str">
        <x:v>High</x:v>
      </x:c>
      <x:c r="BA340" s="12" t="n">
        <x:v>4</x:v>
      </x:c>
      <x:c r="BB340" s="12" t="n">
        <x:f>COUNTIFS($C$2:$C$344,C340,$AW$2:$AW$344,"&gt;"&amp;AW340,$G$2:$G$344,"&gt;0")+COUNTIFS($C$2:C340,C340,$AW$2:AW340,AW340,$G$2:G340,"&gt;0")</x:f>
        <x:v>28</x:v>
      </x:c>
      <x:c r="BC340" s="12" t="n">
        <x:v>28</x:v>
      </x:c>
      <x:c r="BD340" s="12" t="str">
        <x:f>IF(BB340&lt;BC340,"↑",IF(BB340&gt;BC340,"↓","→"))</x:f>
        <x:v>→</x:v>
      </x:c>
      <x:c r="BE340" s="23" t="str">
        <x:v>Fantasy Football Brief ROS baseline; official NFL schedule</x:v>
      </x:c>
      <x:c r="BF340" s="23" t="str">
        <x:v>Current role and availability baseline; all adjustment factors shown numerically</x:v>
      </x:c>
      <x:c r="BG340" s="23" t="str">
        <x:v>Material injury, depth-chart, or role change</x:v>
      </x:c>
      <x:c r="BH340" s="24" t="str">
        <x:v>2026-09-23 10:35 CT</x:v>
      </x:c>
    </x:row>
    <x:row r="341">
      <x:c r="A341" s="12" t="str">
        <x:v>Carolina Panthers</x:v>
      </x:c>
      <x:c r="B341" s="12" t="str">
        <x:v>CAR</x:v>
      </x:c>
      <x:c r="C341" s="12" t="str">
        <x:v>DST</x:v>
      </x:c>
      <x:c r="D341" s="12" t="str">
        <x:v>CLE</x:v>
      </x:c>
      <x:c r="E341" s="12" t="str">
        <x:v>Away</x:v>
      </x:c>
      <x:c r="F341" s="12" t="str">
        <x:v>2026-09-27</x:v>
      </x:c>
      <x:c r="G341" s="19" t="n">
        <x:v>1</x:v>
      </x:c>
      <x:c r="H341" s="20" t="str">
        <x:v>ACTIVE</x:v>
      </x:c>
      <x:c r="I341" s="20" t="n">
        <x:v>62</x:v>
      </x:c>
      <x:c r="J341" s="20" t="str">
        <x:v>Defensive snaps</x:v>
      </x:c>
      <x:c r="K341" s="20" t="n">
        <x:v>62</x:v>
      </x:c>
      <x:c r="L341" s="21" t="n">
        <x:v>0</x:v>
      </x:c>
      <x:c r="M341" s="21" t="n">
        <x:v>0</x:v>
      </x:c>
      <x:c r="N341" s="21" t="n">
        <x:v>0</x:v>
      </x:c>
      <x:c r="O341" s="21" t="n">
        <x:v>0</x:v>
      </x:c>
      <x:c r="P341" s="21" t="n">
        <x:v>0</x:v>
      </x:c>
      <x:c r="Q341" s="21" t="n">
        <x:v>0</x:v>
      </x:c>
      <x:c r="R341" s="21" t="n">
        <x:v>0</x:v>
      </x:c>
      <x:c r="S341" s="21" t="n">
        <x:v>0</x:v>
      </x:c>
      <x:c r="T341" s="21" t="n">
        <x:v>0</x:v>
      </x:c>
      <x:c r="U341" s="21" t="n">
        <x:v>0</x:v>
      </x:c>
      <x:c r="V341" s="21" t="n">
        <x:v>0</x:v>
      </x:c>
      <x:c r="W341" s="21" t="n">
        <x:v>0</x:v>
      </x:c>
      <x:c r="X341" s="21" t="n">
        <x:v>0</x:v>
      </x:c>
      <x:c r="Y341" s="21" t="n">
        <x:v>0</x:v>
      </x:c>
      <x:c r="Z341" s="21" t="n">
        <x:v>0</x:v>
      </x:c>
      <x:c r="AA341" s="21" t="n">
        <x:v>0</x:v>
      </x:c>
      <x:c r="AB341" s="21" t="n">
        <x:v>0</x:v>
      </x:c>
      <x:c r="AC341" s="21" t="n">
        <x:v>0</x:v>
      </x:c>
      <x:c r="AD341" s="21" t="n">
        <x:v>0</x:v>
      </x:c>
      <x:c r="AE341" s="21" t="n">
        <x:v>0</x:v>
      </x:c>
      <x:c r="AF341" s="21" t="n">
        <x:v>0</x:v>
      </x:c>
      <x:c r="AG341" s="21" t="n">
        <x:v>2.0971129441624363</x:v>
      </x:c>
      <x:c r="AH341" s="21" t="n">
        <x:v>1.0066142131979694</x:v>
      </x:c>
      <x:c r="AI341" s="21" t="n">
        <x:v>0.06710761421319797</x:v>
      </x:c>
      <x:c r="AJ341" s="21" t="n">
        <x:v>21</x:v>
      </x:c>
      <x:c r="AK341" s="21" t="n">
        <x:v>340</x:v>
      </x:c>
      <x:c r="AL341" s="21" t="n">
        <x:v>2.0971129441624363</x:v>
      </x:c>
      <x:c r="AM341" s="21" t="n">
        <x:v>1</x:v>
      </x:c>
      <x:c r="AN341" s="21" t="n">
        <x:v>1</x:v>
      </x:c>
      <x:c r="AO341" s="21" t="n">
        <x:v>1</x:v>
      </x:c>
      <x:c r="AP341" s="21" t="n">
        <x:v>0.98</x:v>
      </x:c>
      <x:c r="AQ341" s="21" t="n">
        <x:v>0.95</x:v>
      </x:c>
      <x:c r="AR341" s="21" t="n">
        <x:v>1</x:v>
      </x:c>
      <x:c r="AS341" s="21" t="n">
        <x:v>1</x:v>
      </x:c>
      <x:c r="AT341" s="21" t="n">
        <x:v>1</x:v>
      </x:c>
      <x:c r="AU341" s="21" t="n">
        <x:v>0</x:v>
      </x:c>
      <x:c r="AV341" s="22" t="n">
        <x:f>IF(C341="QB",N341*0.04+O341*4-P341*2+R341*0.1+S341*6,IF(OR(C341="RB",C341="WR",C341="TE"),U341*0.1+V341*6+R341*0.1+S341*6+X341*0.5+Y341*0.1+Z341*6,IF(C341="K",AC341*3+AD341*4+AE341*5+AF341,IF(C341="DST",AG341+AH341*2+AI341*6+AL341,0))))</x:f>
        <x:v>6.610099999999999</x:v>
      </x:c>
      <x:c r="AW341" s="22" t="n">
        <x:f>(AV341+AU341)*G341</x:f>
        <x:v>6.610099999999999</x:v>
      </x:c>
      <x:c r="AX341" s="22" t="n">
        <x:f>MAX(0,AW341*IF(C341="QB",0.68,IF(C341="RB",0.58,IF(C341="WR",0.52,IF(C341="TE",0.50,IF(C341="K",0.55,0.40))))))</x:f>
        <x:v>2.64404</x:v>
      </x:c>
      <x:c r="AY341" s="22" t="n">
        <x:f>AW341*IF(C341="QB",1.32,IF(C341="RB",1.45,IF(C341="WR",1.55,IF(C341="TE",1.60,IF(C341="K",1.45,1.65)))))</x:f>
        <x:v>10.906664999999998</x:v>
      </x:c>
      <x:c r="AZ341" s="12" t="str">
        <x:v>High</x:v>
      </x:c>
      <x:c r="BA341" s="12" t="n">
        <x:v>4</x:v>
      </x:c>
      <x:c r="BB341" s="12" t="n">
        <x:f>COUNTIFS($C$2:$C$344,C341,$AW$2:$AW$344,"&gt;"&amp;AW341,$G$2:$G$344,"&gt;0")+COUNTIFS($C$2:C341,C341,$AW$2:AW341,AW341,$G$2:G341,"&gt;0")</x:f>
        <x:v>29</x:v>
      </x:c>
      <x:c r="BC341" s="12" t="n">
        <x:v>29</x:v>
      </x:c>
      <x:c r="BD341" s="12" t="str">
        <x:f>IF(BB341&lt;BC341,"↑",IF(BB341&gt;BC341,"↓","→"))</x:f>
        <x:v>→</x:v>
      </x:c>
      <x:c r="BE341" s="23" t="str">
        <x:v>Fantasy Football Brief ROS baseline; official NFL schedule</x:v>
      </x:c>
      <x:c r="BF341" s="23" t="str">
        <x:v>Current role and availability baseline; all adjustment factors shown numerically</x:v>
      </x:c>
      <x:c r="BG341" s="23" t="str">
        <x:v>Material injury, depth-chart, or role change</x:v>
      </x:c>
      <x:c r="BH341" s="24" t="str">
        <x:v>2026-09-23 10:35 CT</x:v>
      </x:c>
    </x:row>
    <x:row r="342">
      <x:c r="A342" s="12" t="str">
        <x:v>Washington Commanders</x:v>
      </x:c>
      <x:c r="B342" s="12" t="str">
        <x:v>WAS</x:v>
      </x:c>
      <x:c r="C342" s="12" t="str">
        <x:v>DST</x:v>
      </x:c>
      <x:c r="D342" s="12" t="str">
        <x:v>SEA</x:v>
      </x:c>
      <x:c r="E342" s="12" t="str">
        <x:v>Home</x:v>
      </x:c>
      <x:c r="F342" s="12" t="str">
        <x:v>2026-09-27</x:v>
      </x:c>
      <x:c r="G342" s="19" t="n">
        <x:v>1</x:v>
      </x:c>
      <x:c r="H342" s="20" t="str">
        <x:v>ACTIVE</x:v>
      </x:c>
      <x:c r="I342" s="20" t="n">
        <x:v>62</x:v>
      </x:c>
      <x:c r="J342" s="20" t="str">
        <x:v>Defensive snaps</x:v>
      </x:c>
      <x:c r="K342" s="20" t="n">
        <x:v>62</x:v>
      </x:c>
      <x:c r="L342" s="21" t="n">
        <x:v>0</x:v>
      </x:c>
      <x:c r="M342" s="21" t="n">
        <x:v>0</x:v>
      </x:c>
      <x:c r="N342" s="21" t="n">
        <x:v>0</x:v>
      </x:c>
      <x:c r="O342" s="21" t="n">
        <x:v>0</x:v>
      </x:c>
      <x:c r="P342" s="21" t="n">
        <x:v>0</x:v>
      </x:c>
      <x:c r="Q342" s="21" t="n">
        <x:v>0</x:v>
      </x:c>
      <x:c r="R342" s="21" t="n">
        <x:v>0</x:v>
      </x:c>
      <x:c r="S342" s="21" t="n">
        <x:v>0</x:v>
      </x:c>
      <x:c r="T342" s="21" t="n">
        <x:v>0</x:v>
      </x:c>
      <x:c r="U342" s="21" t="n">
        <x:v>0</x:v>
      </x:c>
      <x:c r="V342" s="21" t="n">
        <x:v>0</x:v>
      </x:c>
      <x:c r="W342" s="21" t="n">
        <x:v>0</x:v>
      </x:c>
      <x:c r="X342" s="21" t="n">
        <x:v>0</x:v>
      </x:c>
      <x:c r="Y342" s="21" t="n">
        <x:v>0</x:v>
      </x:c>
      <x:c r="Z342" s="21" t="n">
        <x:v>0</x:v>
      </x:c>
      <x:c r="AA342" s="21" t="n">
        <x:v>0</x:v>
      </x:c>
      <x:c r="AB342" s="21" t="n">
        <x:v>0</x:v>
      </x:c>
      <x:c r="AC342" s="21" t="n">
        <x:v>0</x:v>
      </x:c>
      <x:c r="AD342" s="21" t="n">
        <x:v>0</x:v>
      </x:c>
      <x:c r="AE342" s="21" t="n">
        <x:v>0</x:v>
      </x:c>
      <x:c r="AF342" s="21" t="n">
        <x:v>0</x:v>
      </x:c>
      <x:c r="AG342" s="21" t="n">
        <x:v>2.0507868020304567</x:v>
      </x:c>
      <x:c r="AH342" s="21" t="n">
        <x:v>0.9843776649746193</x:v>
      </x:c>
      <x:c r="AI342" s="21" t="n">
        <x:v>0.06562517766497462</x:v>
      </x:c>
      <x:c r="AJ342" s="21" t="n">
        <x:v>21</x:v>
      </x:c>
      <x:c r="AK342" s="21" t="n">
        <x:v>340</x:v>
      </x:c>
      <x:c r="AL342" s="21" t="n">
        <x:v>2.0507868020304567</x:v>
      </x:c>
      <x:c r="AM342" s="21" t="n">
        <x:v>1</x:v>
      </x:c>
      <x:c r="AN342" s="21" t="n">
        <x:v>1</x:v>
      </x:c>
      <x:c r="AO342" s="21" t="n">
        <x:v>1</x:v>
      </x:c>
      <x:c r="AP342" s="21" t="n">
        <x:v>0.97</x:v>
      </x:c>
      <x:c r="AQ342" s="21" t="n">
        <x:v>0.98</x:v>
      </x:c>
      <x:c r="AR342" s="21" t="n">
        <x:v>1</x:v>
      </x:c>
      <x:c r="AS342" s="21" t="n">
        <x:v>1</x:v>
      </x:c>
      <x:c r="AT342" s="21" t="n">
        <x:v>1</x:v>
      </x:c>
      <x:c r="AU342" s="21" t="n">
        <x:v>0</x:v>
      </x:c>
      <x:c r="AV342" s="22" t="n">
        <x:f>IF(C342="QB",N342*0.04+O342*4-P342*2+R342*0.1+S342*6,IF(OR(C342="RB",C342="WR",C342="TE"),U342*0.1+V342*6+R342*0.1+S342*6+X342*0.5+Y342*0.1+Z342*6,IF(C342="K",AC342*3+AD342*4+AE342*5+AF342,IF(C342="DST",AG342+AH342*2+AI342*6+AL342,0))))</x:f>
        <x:v>6.464079999999999</x:v>
      </x:c>
      <x:c r="AW342" s="22" t="n">
        <x:f>(AV342+AU342)*G342</x:f>
        <x:v>6.464079999999999</x:v>
      </x:c>
      <x:c r="AX342" s="22" t="n">
        <x:f>MAX(0,AW342*IF(C342="QB",0.68,IF(C342="RB",0.58,IF(C342="WR",0.52,IF(C342="TE",0.50,IF(C342="K",0.55,0.40))))))</x:f>
        <x:v>2.585632</x:v>
      </x:c>
      <x:c r="AY342" s="22" t="n">
        <x:f>AW342*IF(C342="QB",1.32,IF(C342="RB",1.45,IF(C342="WR",1.55,IF(C342="TE",1.60,IF(C342="K",1.45,1.65)))))</x:f>
        <x:v>10.665731999999998</x:v>
      </x:c>
      <x:c r="AZ342" s="12" t="str">
        <x:v>High</x:v>
      </x:c>
      <x:c r="BA342" s="12" t="n">
        <x:v>4</x:v>
      </x:c>
      <x:c r="BB342" s="12" t="n">
        <x:f>COUNTIFS($C$2:$C$344,C342,$AW$2:$AW$344,"&gt;"&amp;AW342,$G$2:$G$344,"&gt;0")+COUNTIFS($C$2:C342,C342,$AW$2:AW342,AW342,$G$2:G342,"&gt;0")</x:f>
        <x:v>30</x:v>
      </x:c>
      <x:c r="BC342" s="12" t="n">
        <x:v>30</x:v>
      </x:c>
      <x:c r="BD342" s="12" t="str">
        <x:f>IF(BB342&lt;BC342,"↑",IF(BB342&gt;BC342,"↓","→"))</x:f>
        <x:v>→</x:v>
      </x:c>
      <x:c r="BE342" s="23" t="str">
        <x:v>Fantasy Football Brief ROS baseline; official NFL schedule</x:v>
      </x:c>
      <x:c r="BF342" s="23" t="str">
        <x:v>Current role and availability baseline; all adjustment factors shown numerically</x:v>
      </x:c>
      <x:c r="BG342" s="23" t="str">
        <x:v>Material injury, depth-chart, or role change</x:v>
      </x:c>
      <x:c r="BH342" s="24" t="str">
        <x:v>2026-09-23 10:35 CT</x:v>
      </x:c>
    </x:row>
    <x:row r="343">
      <x:c r="A343" s="12" t="str">
        <x:v>Miami Dolphins</x:v>
      </x:c>
      <x:c r="B343" s="12" t="str">
        <x:v>MIA</x:v>
      </x:c>
      <x:c r="C343" s="12" t="str">
        <x:v>DST</x:v>
      </x:c>
      <x:c r="D343" s="12" t="str">
        <x:v>KC</x:v>
      </x:c>
      <x:c r="E343" s="12" t="str">
        <x:v>Home</x:v>
      </x:c>
      <x:c r="F343" s="12" t="str">
        <x:v>2026-09-27</x:v>
      </x:c>
      <x:c r="G343" s="19" t="n">
        <x:v>1</x:v>
      </x:c>
      <x:c r="H343" s="20" t="str">
        <x:v>ACTIVE</x:v>
      </x:c>
      <x:c r="I343" s="20" t="n">
        <x:v>62</x:v>
      </x:c>
      <x:c r="J343" s="20" t="str">
        <x:v>Defensive snaps</x:v>
      </x:c>
      <x:c r="K343" s="20" t="n">
        <x:v>62</x:v>
      </x:c>
      <x:c r="L343" s="21" t="n">
        <x:v>0</x:v>
      </x:c>
      <x:c r="M343" s="21" t="n">
        <x:v>0</x:v>
      </x:c>
      <x:c r="N343" s="21" t="n">
        <x:v>0</x:v>
      </x:c>
      <x:c r="O343" s="21" t="n">
        <x:v>0</x:v>
      </x:c>
      <x:c r="P343" s="21" t="n">
        <x:v>0</x:v>
      </x:c>
      <x:c r="Q343" s="21" t="n">
        <x:v>0</x:v>
      </x:c>
      <x:c r="R343" s="21" t="n">
        <x:v>0</x:v>
      </x:c>
      <x:c r="S343" s="21" t="n">
        <x:v>0</x:v>
      </x:c>
      <x:c r="T343" s="21" t="n">
        <x:v>0</x:v>
      </x:c>
      <x:c r="U343" s="21" t="n">
        <x:v>0</x:v>
      </x:c>
      <x:c r="V343" s="21" t="n">
        <x:v>0</x:v>
      </x:c>
      <x:c r="W343" s="21" t="n">
        <x:v>0</x:v>
      </x:c>
      <x:c r="X343" s="21" t="n">
        <x:v>0</x:v>
      </x:c>
      <x:c r="Y343" s="21" t="n">
        <x:v>0</x:v>
      </x:c>
      <x:c r="Z343" s="21" t="n">
        <x:v>0</x:v>
      </x:c>
      <x:c r="AA343" s="21" t="n">
        <x:v>0</x:v>
      </x:c>
      <x:c r="AB343" s="21" t="n">
        <x:v>0</x:v>
      </x:c>
      <x:c r="AC343" s="21" t="n">
        <x:v>0</x:v>
      </x:c>
      <x:c r="AD343" s="21" t="n">
        <x:v>0</x:v>
      </x:c>
      <x:c r="AE343" s="21" t="n">
        <x:v>0</x:v>
      </x:c>
      <x:c r="AF343" s="21" t="n">
        <x:v>0</x:v>
      </x:c>
      <x:c r="AG343" s="21" t="n">
        <x:v>1.988007614213198</x:v>
      </x:c>
      <x:c r="AH343" s="21" t="n">
        <x:v>0.954243654822335</x:v>
      </x:c>
      <x:c r="AI343" s="21" t="n">
        <x:v>0.06361624365482234</x:v>
      </x:c>
      <x:c r="AJ343" s="21" t="n">
        <x:v>21</x:v>
      </x:c>
      <x:c r="AK343" s="21" t="n">
        <x:v>340</x:v>
      </x:c>
      <x:c r="AL343" s="21" t="n">
        <x:v>1.988007614213198</x:v>
      </x:c>
      <x:c r="AM343" s="21" t="n">
        <x:v>1</x:v>
      </x:c>
      <x:c r="AN343" s="21" t="n">
        <x:v>1</x:v>
      </x:c>
      <x:c r="AO343" s="21" t="n">
        <x:v>1</x:v>
      </x:c>
      <x:c r="AP343" s="21" t="n">
        <x:v>0.97</x:v>
      </x:c>
      <x:c r="AQ343" s="21" t="n">
        <x:v>0.95</x:v>
      </x:c>
      <x:c r="AR343" s="21" t="n">
        <x:v>1</x:v>
      </x:c>
      <x:c r="AS343" s="21" t="n">
        <x:v>1</x:v>
      </x:c>
      <x:c r="AT343" s="21" t="n">
        <x:v>1</x:v>
      </x:c>
      <x:c r="AU343" s="21" t="n">
        <x:v>0</x:v>
      </x:c>
      <x:c r="AV343" s="22" t="n">
        <x:f>IF(C343="QB",N343*0.04+O343*4-P343*2+R343*0.1+S343*6,IF(OR(C343="RB",C343="WR",C343="TE"),U343*0.1+V343*6+R343*0.1+S343*6+X343*0.5+Y343*0.1+Z343*6,IF(C343="K",AC343*3+AD343*4+AE343*5+AF343,IF(C343="DST",AG343+AH343*2+AI343*6+AL343,0))))</x:f>
        <x:v>6.2662</x:v>
      </x:c>
      <x:c r="AW343" s="22" t="n">
        <x:f>(AV343+AU343)*G343</x:f>
        <x:v>6.2662</x:v>
      </x:c>
      <x:c r="AX343" s="22" t="n">
        <x:f>MAX(0,AW343*IF(C343="QB",0.68,IF(C343="RB",0.58,IF(C343="WR",0.52,IF(C343="TE",0.50,IF(C343="K",0.55,0.40))))))</x:f>
        <x:v>2.5064800000000003</x:v>
      </x:c>
      <x:c r="AY343" s="22" t="n">
        <x:f>AW343*IF(C343="QB",1.32,IF(C343="RB",1.45,IF(C343="WR",1.55,IF(C343="TE",1.60,IF(C343="K",1.45,1.65)))))</x:f>
        <x:v>10.33923</x:v>
      </x:c>
      <x:c r="AZ343" s="12" t="str">
        <x:v>High</x:v>
      </x:c>
      <x:c r="BA343" s="12" t="n">
        <x:v>4</x:v>
      </x:c>
      <x:c r="BB343" s="12" t="n">
        <x:f>COUNTIFS($C$2:$C$344,C343,$AW$2:$AW$344,"&gt;"&amp;AW343,$G$2:$G$344,"&gt;0")+COUNTIFS($C$2:C343,C343,$AW$2:AW343,AW343,$G$2:G343,"&gt;0")</x:f>
        <x:v>31</x:v>
      </x:c>
      <x:c r="BC343" s="12" t="n">
        <x:v>31</x:v>
      </x:c>
      <x:c r="BD343" s="12" t="str">
        <x:f>IF(BB343&lt;BC343,"↑",IF(BB343&gt;BC343,"↓","→"))</x:f>
        <x:v>→</x:v>
      </x:c>
      <x:c r="BE343" s="23" t="str">
        <x:v>Fantasy Football Brief ROS baseline; official NFL schedule</x:v>
      </x:c>
      <x:c r="BF343" s="23" t="str">
        <x:v>Current role and availability baseline; all adjustment factors shown numerically</x:v>
      </x:c>
      <x:c r="BG343" s="23" t="str">
        <x:v>Material injury, depth-chart, or role change</x:v>
      </x:c>
      <x:c r="BH343" s="24" t="str">
        <x:v>2026-09-23 10:35 CT</x:v>
      </x:c>
    </x:row>
    <x:row r="344">
      <x:c r="A344" s="12" t="str">
        <x:v>Arizona Cardinals</x:v>
      </x:c>
      <x:c r="B344" s="12" t="str">
        <x:v>ARI</x:v>
      </x:c>
      <x:c r="C344" s="12" t="str">
        <x:v>DST</x:v>
      </x:c>
      <x:c r="D344" s="12" t="str">
        <x:v>SF</x:v>
      </x:c>
      <x:c r="E344" s="12" t="str">
        <x:v>Away</x:v>
      </x:c>
      <x:c r="F344" s="12" t="str">
        <x:v>2026-09-27</x:v>
      </x:c>
      <x:c r="G344" s="19" t="n">
        <x:v>1</x:v>
      </x:c>
      <x:c r="H344" s="20" t="str">
        <x:v>ACTIVE</x:v>
      </x:c>
      <x:c r="I344" s="20" t="n">
        <x:v>62</x:v>
      </x:c>
      <x:c r="J344" s="20" t="str">
        <x:v>Defensive snaps</x:v>
      </x:c>
      <x:c r="K344" s="20" t="n">
        <x:v>62</x:v>
      </x:c>
      <x:c r="L344" s="21" t="n">
        <x:v>0</x:v>
      </x:c>
      <x:c r="M344" s="21" t="n">
        <x:v>0</x:v>
      </x:c>
      <x:c r="N344" s="21" t="n">
        <x:v>0</x:v>
      </x:c>
      <x:c r="O344" s="21" t="n">
        <x:v>0</x:v>
      </x:c>
      <x:c r="P344" s="21" t="n">
        <x:v>0</x:v>
      </x:c>
      <x:c r="Q344" s="21" t="n">
        <x:v>0</x:v>
      </x:c>
      <x:c r="R344" s="21" t="n">
        <x:v>0</x:v>
      </x:c>
      <x:c r="S344" s="21" t="n">
        <x:v>0</x:v>
      </x:c>
      <x:c r="T344" s="21" t="n">
        <x:v>0</x:v>
      </x:c>
      <x:c r="U344" s="21" t="n">
        <x:v>0</x:v>
      </x:c>
      <x:c r="V344" s="21" t="n">
        <x:v>0</x:v>
      </x:c>
      <x:c r="W344" s="21" t="n">
        <x:v>0</x:v>
      </x:c>
      <x:c r="X344" s="21" t="n">
        <x:v>0</x:v>
      </x:c>
      <x:c r="Y344" s="21" t="n">
        <x:v>0</x:v>
      </x:c>
      <x:c r="Z344" s="21" t="n">
        <x:v>0</x:v>
      </x:c>
      <x:c r="AA344" s="21" t="n">
        <x:v>0</x:v>
      </x:c>
      <x:c r="AB344" s="21" t="n">
        <x:v>0</x:v>
      </x:c>
      <x:c r="AC344" s="21" t="n">
        <x:v>0</x:v>
      </x:c>
      <x:c r="AD344" s="21" t="n">
        <x:v>0</x:v>
      </x:c>
      <x:c r="AE344" s="21" t="n">
        <x:v>0</x:v>
      </x:c>
      <x:c r="AF344" s="21" t="n">
        <x:v>0</x:v>
      </x:c>
      <x:c r="AG344" s="21" t="n">
        <x:v>1.9384517766497458</x:v>
      </x:c>
      <x:c r="AH344" s="21" t="n">
        <x:v>0.9304568527918781</x:v>
      </x:c>
      <x:c r="AI344" s="21" t="n">
        <x:v>0.062030456852791876</x:v>
      </x:c>
      <x:c r="AJ344" s="21" t="n">
        <x:v>21</x:v>
      </x:c>
      <x:c r="AK344" s="21" t="n">
        <x:v>340</x:v>
      </x:c>
      <x:c r="AL344" s="21" t="n">
        <x:v>1.9384517766497458</x:v>
      </x:c>
      <x:c r="AM344" s="21" t="n">
        <x:v>1</x:v>
      </x:c>
      <x:c r="AN344" s="21" t="n">
        <x:v>1</x:v>
      </x:c>
      <x:c r="AO344" s="21" t="n">
        <x:v>1</x:v>
      </x:c>
      <x:c r="AP344" s="21" t="n">
        <x:v>1</x:v>
      </x:c>
      <x:c r="AQ344" s="21" t="n">
        <x:v>0.94</x:v>
      </x:c>
      <x:c r="AR344" s="21" t="n">
        <x:v>1</x:v>
      </x:c>
      <x:c r="AS344" s="21" t="n">
        <x:v>1</x:v>
      </x:c>
      <x:c r="AT344" s="21" t="n">
        <x:v>1</x:v>
      </x:c>
      <x:c r="AU344" s="21" t="n">
        <x:v>0</x:v>
      </x:c>
      <x:c r="AV344" s="22" t="n">
        <x:f>IF(C344="QB",N344*0.04+O344*4-P344*2+R344*0.1+S344*6,IF(OR(C344="RB",C344="WR",C344="TE"),U344*0.1+V344*6+R344*0.1+S344*6+X344*0.5+Y344*0.1+Z344*6,IF(C344="K",AC344*3+AD344*4+AE344*5+AF344,IF(C344="DST",AG344+AH344*2+AI344*6+AL344,0))))</x:f>
        <x:v>6.109999999999999</x:v>
      </x:c>
      <x:c r="AW344" s="22" t="n">
        <x:f>(AV344+AU344)*G344</x:f>
        <x:v>6.109999999999999</x:v>
      </x:c>
      <x:c r="AX344" s="22" t="n">
        <x:f>MAX(0,AW344*IF(C344="QB",0.68,IF(C344="RB",0.58,IF(C344="WR",0.52,IF(C344="TE",0.50,IF(C344="K",0.55,0.40))))))</x:f>
        <x:v>2.444</x:v>
      </x:c>
      <x:c r="AY344" s="22" t="n">
        <x:f>AW344*IF(C344="QB",1.32,IF(C344="RB",1.45,IF(C344="WR",1.55,IF(C344="TE",1.60,IF(C344="K",1.45,1.65)))))</x:f>
        <x:v>10.081499999999998</x:v>
      </x:c>
      <x:c r="AZ344" s="12" t="str">
        <x:v>High</x:v>
      </x:c>
      <x:c r="BA344" s="12" t="n">
        <x:v>4</x:v>
      </x:c>
      <x:c r="BB344" s="12" t="n">
        <x:f>COUNTIFS($C$2:$C$344,C344,$AW$2:$AW$344,"&gt;"&amp;AW344,$G$2:$G$344,"&gt;0")+COUNTIFS($C$2:C344,C344,$AW$2:AW344,AW344,$G$2:G344,"&gt;0")</x:f>
        <x:v>32</x:v>
      </x:c>
      <x:c r="BC344" s="12" t="n">
        <x:v>32</x:v>
      </x:c>
      <x:c r="BD344" s="12" t="str">
        <x:f>IF(BB344&lt;BC344,"↑",IF(BB344&gt;BC344,"↓","→"))</x:f>
        <x:v>→</x:v>
      </x:c>
      <x:c r="BE344" s="23" t="str">
        <x:v>Fantasy Football Brief ROS baseline; official NFL schedule</x:v>
      </x:c>
      <x:c r="BF344" s="23" t="str">
        <x:v>Current role and availability baseline; all adjustment factors shown numerically</x:v>
      </x:c>
      <x:c r="BG344" s="23" t="str">
        <x:v>Material injury, depth-chart, or role change</x:v>
      </x:c>
      <x:c r="BH344" s="24" t="str">
        <x:v>2026-09-23 10:35 CT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5" hidden="0" customWidth="1"/>
    <x:col min="2" max="2" width="3.2200000286102295" hidden="0" customWidth="1"/>
    <x:col min="3" max="3" width="7.329999923706055" hidden="0" customWidth="1"/>
    <x:col min="4" max="4" width="3.7799999713897705" hidden="0" customWidth="1"/>
    <x:col min="5" max="5" width="10.5600004196167" hidden="0" customWidth="1"/>
    <x:col min="6" max="6" width="5.21999979019165" hidden="0" customWidth="1"/>
    <x:col min="7" max="7" width="7.440000057220459" hidden="0" customWidth="1"/>
    <x:col min="8" max="8" width="4" hidden="0" customWidth="1"/>
    <x:col min="9" max="9" width="7.440000057220459" hidden="0" customWidth="1"/>
    <x:col min="10" max="10" width="6.329999923706055" hidden="0" customWidth="1"/>
    <x:col min="11" max="11" width="48" hidden="0" customWidth="1"/>
    <x:col min="12" max="12" width="48" hidden="0" customWidth="1"/>
  </x:cols>
  <x:sheetData>
    <x:row r="1">
      <x:c r="A1" s="25" t="str">
        <x:v>WEEK 3 ADJUSTMENT LEDGER</x:v>
      </x:c>
      <x:c r="B1" s="25"/>
      <x:c r="C1" s="25"/>
      <x:c r="D1" s="25"/>
      <x:c r="E1" s="25"/>
      <x:c r="F1" s="25"/>
      <x:c r="G1" s="25"/>
      <x:c r="H1" s="25"/>
      <x:c r="I1" s="25"/>
      <x:c r="J1" s="25"/>
      <x:c r="K1" s="25"/>
      <x:c r="L1" s="25"/>
    </x:row>
    <x:row r="3">
      <x:c r="A3" s="9" t="str">
        <x:v>Player</x:v>
      </x:c>
      <x:c r="B3" s="9" t="str">
        <x:v>Pos</x:v>
      </x:c>
      <x:c r="C3" s="9" t="str">
        <x:v>Play Prob</x:v>
      </x:c>
      <x:c r="D3" s="9" t="str">
        <x:v>Role</x:v>
      </x:c>
      <x:c r="E3" s="9" t="str">
        <x:v>Redistribution</x:v>
      </x:c>
      <x:c r="F3" s="9" t="str">
        <x:v>QB/OL</x:v>
      </x:c>
      <x:c r="G3" s="9" t="str">
        <x:v>Opponent</x:v>
      </x:c>
      <x:c r="H3" s="9" t="str">
        <x:v>Pace</x:v>
      </x:c>
      <x:c r="I3" s="9" t="str">
        <x:v>Efficiency</x:v>
      </x:c>
      <x:c r="J3" s="9" t="str">
        <x:v>Weather</x:v>
      </x:c>
      <x:c r="K3" s="9" t="str">
        <x:v>Reason</x:v>
      </x:c>
      <x:c r="L3" s="9" t="str">
        <x:v>Checkpoint</x:v>
      </x:c>
    </x:row>
    <x:row r="4">
      <x:c r="A4" s="12" t="str">
        <x:v>Jameis Winston</x:v>
      </x:c>
      <x:c r="B4" s="12" t="str">
        <x:v>QB</x:v>
      </x:c>
      <x:c r="C4" s="16" t="n">
        <x:v>1</x:v>
      </x:c>
      <x:c r="D4" s="16" t="n">
        <x:v>1</x:v>
      </x:c>
      <x:c r="E4" s="16" t="n">
        <x:v>1</x:v>
      </x:c>
      <x:c r="F4" s="16" t="n">
        <x:v>0.96</x:v>
      </x:c>
      <x:c r="G4" s="16" t="n">
        <x:v>1.02</x:v>
      </x:c>
      <x:c r="H4" s="16" t="n">
        <x:v>1</x:v>
      </x:c>
      <x:c r="I4" s="16" t="n">
        <x:v>1</x:v>
      </x:c>
      <x:c r="J4" s="16" t="n">
        <x:v>1</x:v>
      </x:c>
      <x:c r="K4" s="23" t="str">
        <x:v>Full starter projection with a favorable home matchup; Superflex start, one-QB streamer.</x:v>
      </x:c>
      <x:c r="L4" s="23" t="str">
        <x:v>Official Giants starter confirmation and final practice report</x:v>
      </x:c>
    </x:row>
    <x:row r="5">
      <x:c r="A5" s="12" t="str">
        <x:v>Kyler Murray</x:v>
      </x:c>
      <x:c r="B5" s="12" t="str">
        <x:v>QB</x:v>
      </x:c>
      <x:c r="C5" s="16" t="n">
        <x:v>1</x:v>
      </x:c>
      <x:c r="D5" s="16" t="n">
        <x:v>1</x:v>
      </x:c>
      <x:c r="E5" s="16" t="n">
        <x:v>1</x:v>
      </x:c>
      <x:c r="F5" s="16" t="n">
        <x:v>0.99</x:v>
      </x:c>
      <x:c r="G5" s="16" t="n">
        <x:v>1.01</x:v>
      </x:c>
      <x:c r="H5" s="16" t="n">
        <x:v>1</x:v>
      </x:c>
      <x:c r="I5" s="16" t="n">
        <x:v>1</x:v>
      </x:c>
      <x:c r="J5" s="16" t="n">
        <x:v>1</x:v>
      </x:c>
      <x:c r="K5" s="23" t="str">
        <x:v>Full starter projection restored.</x:v>
      </x:c>
      <x:c r="L5" s="23" t="str">
        <x:v>Unexpected recurrence or late designation</x:v>
      </x:c>
    </x:row>
    <x:row r="6">
      <x:c r="A6" s="12" t="str">
        <x:v>Michael Penix Jr.</x:v>
      </x:c>
      <x:c r="B6" s="12" t="str">
        <x:v>QB</x:v>
      </x:c>
      <x:c r="C6" s="16" t="n">
        <x:v>1</x:v>
      </x:c>
      <x:c r="D6" s="16" t="n">
        <x:v>1.06</x:v>
      </x:c>
      <x:c r="E6" s="16" t="n">
        <x:v>1</x:v>
      </x:c>
      <x:c r="F6" s="16" t="n">
        <x:v>0.97</x:v>
      </x:c>
      <x:c r="G6" s="16" t="n">
        <x:v>0.96</x:v>
      </x:c>
      <x:c r="H6" s="16" t="n">
        <x:v>1</x:v>
      </x:c>
      <x:c r="I6" s="16" t="n">
        <x:v>1</x:v>
      </x:c>
      <x:c r="J6" s="16" t="n">
        <x:v>1</x:v>
      </x:c>
      <x:c r="K6" s="23" t="str">
        <x:v>Starter confirmation restores the full game projection; modest efficiency discount remains after ACL return.</x:v>
      </x:c>
      <x:c r="L6" s="23" t="str">
        <x:v>Thursday pregame warmups and any late snap-limit report</x:v>
      </x:c>
    </x:row>
    <x:row r="7">
      <x:c r="A7" s="12" t="str">
        <x:v>Marcus Mariota</x:v>
      </x:c>
      <x:c r="B7" s="12" t="str">
        <x:v>QB</x:v>
      </x:c>
      <x:c r="C7" s="16" t="n">
        <x:v>1</x:v>
      </x:c>
      <x:c r="D7" s="16" t="n">
        <x:v>1.04</x:v>
      </x:c>
      <x:c r="E7" s="16" t="n">
        <x:v>1</x:v>
      </x:c>
      <x:c r="F7" s="16" t="n">
        <x:v>0.97</x:v>
      </x:c>
      <x:c r="G7" s="16" t="n">
        <x:v>0.98</x:v>
      </x:c>
      <x:c r="H7" s="16" t="n">
        <x:v>1</x:v>
      </x:c>
      <x:c r="I7" s="16" t="n">
        <x:v>1</x:v>
      </x:c>
      <x:c r="J7" s="16" t="n">
        <x:v>1</x:v>
      </x:c>
      <x:c r="K7" s="23" t="str">
        <x:v>Full starter workload replaces prior backup probability.</x:v>
      </x:c>
      <x:c r="L7" s="23" t="str">
        <x:v>Washington practice report and official starter confirmation</x:v>
      </x:c>
    </x:row>
    <x:row r="8">
      <x:c r="A8" s="12" t="str">
        <x:v>Sam Darnold</x:v>
      </x:c>
      <x:c r="B8" s="12" t="str">
        <x:v>QB</x:v>
      </x:c>
      <x:c r="C8" s="16" t="n">
        <x:v>0.8</x:v>
      </x:c>
      <x:c r="D8" s="16" t="n">
        <x:v>0.98</x:v>
      </x:c>
      <x:c r="E8" s="16" t="n">
        <x:v>1</x:v>
      </x:c>
      <x:c r="F8" s="16" t="n">
        <x:v>1</x:v>
      </x:c>
      <x:c r="G8" s="16" t="n">
        <x:v>1.03</x:v>
      </x:c>
      <x:c r="H8" s="16" t="n">
        <x:v>1</x:v>
      </x:c>
      <x:c r="I8" s="16" t="n">
        <x:v>1</x:v>
      </x:c>
      <x:c r="J8" s="16" t="n">
        <x:v>1</x:v>
      </x:c>
      <x:c r="K8" s="23" t="str">
        <x:v>Projected to reclaim the job if active; modest mobility/efficiency discount.</x:v>
      </x:c>
      <x:c r="L8" s="23" t="str">
        <x:v>Wednesday practice participation and Seattle starter announcement</x:v>
      </x:c>
    </x:row>
    <x:row r="9">
      <x:c r="A9" s="12" t="str">
        <x:v>Caleb Williams</x:v>
      </x:c>
      <x:c r="B9" s="12" t="str">
        <x:v>QB</x:v>
      </x:c>
      <x:c r="C9" s="16" t="n">
        <x:v>0.55</x:v>
      </x:c>
      <x:c r="D9" s="16" t="n">
        <x:v>0.96</x:v>
      </x:c>
      <x:c r="E9" s="16" t="n">
        <x:v>1</x:v>
      </x:c>
      <x:c r="F9" s="16" t="n">
        <x:v>0.96</x:v>
      </x:c>
      <x:c r="G9" s="16" t="n">
        <x:v>0.94</x:v>
      </x:c>
      <x:c r="H9" s="16" t="n">
        <x:v>1</x:v>
      </x:c>
      <x:c r="I9" s="16" t="n">
        <x:v>1</x:v>
      </x:c>
      <x:c r="J9" s="16" t="n">
        <x:v>1</x:v>
      </x:c>
      <x:c r="K9" s="23" t="str">
        <x:v>Monday game preserves recovery time, but availability and rushing volume are both discounted.</x:v>
      </x:c>
      <x:c r="L9" s="23" t="str">
        <x:v>Wednesday-Saturday practice participation and official designation</x:v>
      </x:c>
    </x:row>
    <x:row r="10">
      <x:c r="A10" s="12" t="str">
        <x:v>Case Keenum</x:v>
      </x:c>
      <x:c r="B10" s="12" t="str">
        <x:v>QB</x:v>
      </x:c>
      <x:c r="C10" s="16" t="n">
        <x:v>0.45</x:v>
      </x:c>
      <x:c r="D10" s="16" t="n">
        <x:v>1</x:v>
      </x:c>
      <x:c r="E10" s="16" t="n">
        <x:v>1</x:v>
      </x:c>
      <x:c r="F10" s="16" t="n">
        <x:v>0.96</x:v>
      </x:c>
      <x:c r="G10" s="16" t="n">
        <x:v>0.94</x:v>
      </x:c>
      <x:c r="H10" s="16" t="n">
        <x:v>1</x:v>
      </x:c>
      <x:c r="I10" s="16" t="n">
        <x:v>1</x:v>
      </x:c>
      <x:c r="J10" s="16" t="n">
        <x:v>1</x:v>
      </x:c>
      <x:c r="K10" s="23" t="str">
        <x:v>Probability-weighted emergency start projection; difficult matchup limits ceiling.</x:v>
      </x:c>
      <x:c r="L10" s="23" t="str">
        <x:v>Williams and Bagent practice participation</x:v>
      </x:c>
    </x:row>
    <x:row r="11">
      <x:c r="A11" s="12" t="str">
        <x:v>Jaxson Dart</x:v>
      </x:c>
      <x:c r="B11" s="12" t="str">
        <x:v>QB</x:v>
      </x:c>
      <x:c r="C11" s="16" t="n">
        <x:v>0</x:v>
      </x:c>
      <x:c r="D11" s="16" t="n">
        <x:v>1</x:v>
      </x:c>
      <x:c r="E11" s="16" t="n">
        <x:v>1</x:v>
      </x:c>
      <x:c r="F11" s="16" t="n">
        <x:v>0.96</x:v>
      </x:c>
      <x:c r="G11" s="16" t="n">
        <x:v>1.02</x:v>
      </x:c>
      <x:c r="H11" s="16" t="n">
        <x:v>1</x:v>
      </x:c>
      <x:c r="I11" s="16" t="n">
        <x:v>1</x:v>
      </x:c>
      <x:c r="J11" s="16" t="n">
        <x:v>1</x:v>
      </x:c>
      <x:c r="K11" s="23" t="str">
        <x:v>Removed from Week 3; Jameis Winston projected as starter.</x:v>
      </x:c>
      <x:c r="L11" s="23" t="str">
        <x:v>MRI and surgery decision</x:v>
      </x:c>
    </x:row>
    <x:row r="12">
      <x:c r="A12" s="12" t="str">
        <x:v>Jayden Daniels</x:v>
      </x:c>
      <x:c r="B12" s="12" t="str">
        <x:v>QB</x:v>
      </x:c>
      <x:c r="C12" s="16" t="n">
        <x:v>0</x:v>
      </x:c>
      <x:c r="D12" s="16" t="n">
        <x:v>1</x:v>
      </x:c>
      <x:c r="E12" s="16" t="n">
        <x:v>1</x:v>
      </x:c>
      <x:c r="F12" s="16" t="n">
        <x:v>0.97</x:v>
      </x:c>
      <x:c r="G12" s="16" t="n">
        <x:v>0.98</x:v>
      </x:c>
      <x:c r="H12" s="16" t="n">
        <x:v>1</x:v>
      </x:c>
      <x:c r="I12" s="16" t="n">
        <x:v>1</x:v>
      </x:c>
      <x:c r="J12" s="16" t="n">
        <x:v>1</x:v>
      </x:c>
      <x:c r="K12" s="23" t="str">
        <x:v>Removed from Week 3 while specialists determine timetable.</x:v>
      </x:c>
      <x:c r="L12" s="23" t="str">
        <x:v>Specialist diagnosis and official game status</x:v>
      </x:c>
    </x:row>
    <x:row r="13">
      <x:c r="A13" s="12" t="str">
        <x:v>Cam Skattebo</x:v>
      </x:c>
      <x:c r="B13" s="12" t="str">
        <x:v>RB</x:v>
      </x:c>
      <x:c r="C13" s="16" t="n">
        <x:v>1</x:v>
      </x:c>
      <x:c r="D13" s="16" t="n">
        <x:v>1</x:v>
      </x:c>
      <x:c r="E13" s="16" t="n">
        <x:v>1</x:v>
      </x:c>
      <x:c r="F13" s="16" t="n">
        <x:v>0.96</x:v>
      </x:c>
      <x:c r="G13" s="16" t="n">
        <x:v>1.02</x:v>
      </x:c>
      <x:c r="H13" s="16" t="n">
        <x:v>1</x:v>
      </x:c>
      <x:c r="I13" s="16" t="n">
        <x:v>1</x:v>
      </x:c>
      <x:c r="J13" s="16" t="n">
        <x:v>1</x:v>
      </x:c>
      <x:c r="K13" s="23" t="str">
        <x:v>RB24 hold embeds second-half consolidation but not yet a full takeover</x:v>
      </x:c>
      <x:c r="L13" s="23" t="str">
        <x:v>Majority work from opening drive or continued four-back rotation</x:v>
      </x:c>
    </x:row>
    <x:row r="14">
      <x:c r="A14" s="12" t="str">
        <x:v>RJ Harvey</x:v>
      </x:c>
      <x:c r="B14" s="12" t="str">
        <x:v>RB</x:v>
      </x:c>
      <x:c r="C14" s="16" t="n">
        <x:v>0.9866666666666667</x:v>
      </x:c>
      <x:c r="D14" s="16" t="n">
        <x:v>1</x:v>
      </x:c>
      <x:c r="E14" s="16" t="n">
        <x:v>1</x:v>
      </x:c>
      <x:c r="F14" s="16" t="n">
        <x:v>1</x:v>
      </x:c>
      <x:c r="G14" s="16" t="n">
        <x:v>0.97</x:v>
      </x:c>
      <x:c r="H14" s="16" t="n">
        <x:v>1</x:v>
      </x:c>
      <x:c r="I14" s="16" t="n">
        <x:v>1</x:v>
      </x:c>
      <x:c r="J14" s="16" t="n">
        <x:v>1</x:v>
      </x:c>
      <x:c r="K14" s="23" t="str">
        <x:v>Current role and availability baseline; all adjustment factors shown numerically</x:v>
      </x:c>
      <x:c r="L14" s="23" t="str">
        <x:v>Material injury, depth-chart, or role change</x:v>
      </x:c>
    </x:row>
    <x:row r="15">
      <x:c r="A15" s="12" t="str">
        <x:v>Jordan Mason</x:v>
      </x:c>
      <x:c r="B15" s="12" t="str">
        <x:v>RB</x:v>
      </x:c>
      <x:c r="C15" s="16" t="n">
        <x:v>0.7</x:v>
      </x:c>
      <x:c r="D15" s="16" t="n">
        <x:v>1</x:v>
      </x:c>
      <x:c r="E15" s="16" t="n">
        <x:v>1</x:v>
      </x:c>
      <x:c r="F15" s="16" t="n">
        <x:v>0.99</x:v>
      </x:c>
      <x:c r="G15" s="16" t="n">
        <x:v>1</x:v>
      </x:c>
      <x:c r="H15" s="16" t="n">
        <x:v>1</x:v>
      </x:c>
      <x:c r="I15" s="16" t="n">
        <x:v>1</x:v>
      </x:c>
      <x:c r="J15" s="16" t="n">
        <x:v>1</x:v>
      </x:c>
      <x:c r="K15" s="23" t="str">
        <x:v>Current role and availability baseline; all adjustment factors shown numerically</x:v>
      </x:c>
      <x:c r="L15" s="23" t="str">
        <x:v>Material injury, depth-chart, or role change</x:v>
      </x:c>
    </x:row>
    <x:row r="16">
      <x:c r="A16" s="12" t="str">
        <x:v>Dylan Sampson</x:v>
      </x:c>
      <x:c r="B16" s="12" t="str">
        <x:v>RB</x:v>
      </x:c>
      <x:c r="C16" s="16" t="n">
        <x:v>0.7</x:v>
      </x:c>
      <x:c r="D16" s="16" t="n">
        <x:v>1</x:v>
      </x:c>
      <x:c r="E16" s="16" t="n">
        <x:v>1</x:v>
      </x:c>
      <x:c r="F16" s="16" t="n">
        <x:v>0.97</x:v>
      </x:c>
      <x:c r="G16" s="16" t="n">
        <x:v>1.07</x:v>
      </x:c>
      <x:c r="H16" s="16" t="n">
        <x:v>1</x:v>
      </x:c>
      <x:c r="I16" s="16" t="n">
        <x:v>1</x:v>
      </x:c>
      <x:c r="J16" s="16" t="n">
        <x:v>1</x:v>
      </x:c>
      <x:c r="K16" s="23" t="str">
        <x:v>Current role and availability baseline; all adjustment factors shown numerically</x:v>
      </x:c>
      <x:c r="L16" s="23" t="str">
        <x:v>Material injury, depth-chart, or role change</x:v>
      </x:c>
    </x:row>
    <x:row r="17">
      <x:c r="A17" s="12" t="str">
        <x:v>Zach Charbonnet</x:v>
      </x:c>
      <x:c r="B17" s="12" t="str">
        <x:v>RB</x:v>
      </x:c>
      <x:c r="C17" s="16" t="n">
        <x:v>0.4666666666666667</x:v>
      </x:c>
      <x:c r="D17" s="16" t="n">
        <x:v>1</x:v>
      </x:c>
      <x:c r="E17" s="16" t="n">
        <x:v>1</x:v>
      </x:c>
      <x:c r="F17" s="16" t="n">
        <x:v>1</x:v>
      </x:c>
      <x:c r="G17" s="16" t="n">
        <x:v>1</x:v>
      </x:c>
      <x:c r="H17" s="16" t="n">
        <x:v>1</x:v>
      </x:c>
      <x:c r="I17" s="16" t="n">
        <x:v>1</x:v>
      </x:c>
      <x:c r="J17" s="16" t="n">
        <x:v>1</x:v>
      </x:c>
      <x:c r="K17" s="23" t="str">
        <x:v>Current role and availability baseline; all adjustment factors shown numerically</x:v>
      </x:c>
      <x:c r="L17" s="23" t="str">
        <x:v>Material injury, depth-chart, or role change</x:v>
      </x:c>
    </x:row>
    <x:row r="18">
      <x:c r="A18" s="12" t="str">
        <x:v>Adam Randall</x:v>
      </x:c>
      <x:c r="B18" s="12" t="str">
        <x:v>RB</x:v>
      </x:c>
      <x:c r="C18" s="16" t="n">
        <x:v>0.7333333333333333</x:v>
      </x:c>
      <x:c r="D18" s="16" t="n">
        <x:v>1</x:v>
      </x:c>
      <x:c r="E18" s="16" t="n">
        <x:v>1</x:v>
      </x:c>
      <x:c r="F18" s="16" t="n">
        <x:v>1.04</x:v>
      </x:c>
      <x:c r="G18" s="16" t="n">
        <x:v>1.04</x:v>
      </x:c>
      <x:c r="H18" s="16" t="n">
        <x:v>1</x:v>
      </x:c>
      <x:c r="I18" s="16" t="n">
        <x:v>1</x:v>
      </x:c>
      <x:c r="J18" s="16" t="n">
        <x:v>1</x:v>
      </x:c>
      <x:c r="K18" s="23" t="str">
        <x:v>Current role and availability baseline; all adjustment factors shown numerically</x:v>
      </x:c>
      <x:c r="L18" s="23" t="str">
        <x:v>Material injury, depth-chart, or role change</x:v>
      </x:c>
    </x:row>
    <x:row r="19">
      <x:c r="A19" s="12" t="str">
        <x:v>Isaac Guerendo</x:v>
      </x:c>
      <x:c r="B19" s="12" t="str">
        <x:v>RB</x:v>
      </x:c>
      <x:c r="C19" s="16" t="n">
        <x:v>0.8</x:v>
      </x:c>
      <x:c r="D19" s="16" t="n">
        <x:v>1</x:v>
      </x:c>
      <x:c r="E19" s="16" t="n">
        <x:v>1</x:v>
      </x:c>
      <x:c r="F19" s="16" t="n">
        <x:v>1.02</x:v>
      </x:c>
      <x:c r="G19" s="16" t="n">
        <x:v>1</x:v>
      </x:c>
      <x:c r="H19" s="16" t="n">
        <x:v>1</x:v>
      </x:c>
      <x:c r="I19" s="16" t="n">
        <x:v>1</x:v>
      </x:c>
      <x:c r="J19" s="16" t="n">
        <x:v>1</x:v>
      </x:c>
      <x:c r="K19" s="23" t="str">
        <x:v>Current role and availability baseline; all adjustment factors shown numerically</x:v>
      </x:c>
      <x:c r="L19" s="23" t="str">
        <x:v>Material injury, depth-chart, or role change</x:v>
      </x:c>
    </x:row>
    <x:row r="20">
      <x:c r="A20" s="12" t="str">
        <x:v>Isiah Pacheco</x:v>
      </x:c>
      <x:c r="B20" s="12" t="str">
        <x:v>RB</x:v>
      </x:c>
      <x:c r="C20" s="16" t="n">
        <x:v>0.23333333333333334</x:v>
      </x:c>
      <x:c r="D20" s="16" t="n">
        <x:v>1</x:v>
      </x:c>
      <x:c r="E20" s="16" t="n">
        <x:v>1</x:v>
      </x:c>
      <x:c r="F20" s="16" t="n">
        <x:v>1.03</x:v>
      </x:c>
      <x:c r="G20" s="16" t="n">
        <x:v>1.01</x:v>
      </x:c>
      <x:c r="H20" s="16" t="n">
        <x:v>1</x:v>
      </x:c>
      <x:c r="I20" s="16" t="n">
        <x:v>1</x:v>
      </x:c>
      <x:c r="J20" s="16" t="n">
        <x:v>1</x:v>
      </x:c>
      <x:c r="K20" s="23" t="str">
        <x:v>Current role and availability baseline; all adjustment factors shown numerically</x:v>
      </x:c>
      <x:c r="L20" s="23" t="str">
        <x:v>Material injury, depth-chart, or role change</x:v>
      </x:c>
    </x:row>
    <x:row r="21">
      <x:c r="A21" s="12" t="str">
        <x:v>Josh Jacobs</x:v>
      </x:c>
      <x:c r="B21" s="12" t="str">
        <x:v>RB</x:v>
      </x:c>
      <x:c r="C21" s="16" t="n">
        <x:v>0</x:v>
      </x:c>
      <x:c r="D21" s="16" t="n">
        <x:v>1</x:v>
      </x:c>
      <x:c r="E21" s="16" t="n">
        <x:v>1</x:v>
      </x:c>
      <x:c r="F21" s="16" t="n">
        <x:v>1.02</x:v>
      </x:c>
      <x:c r="G21" s="16" t="n">
        <x:v>1.01</x:v>
      </x:c>
      <x:c r="H21" s="16" t="n">
        <x:v>1</x:v>
      </x:c>
      <x:c r="I21" s="16" t="n">
        <x:v>1</x:v>
      </x:c>
      <x:c r="J21" s="16" t="n">
        <x:v>1</x:v>
      </x:c>
      <x:c r="K21" s="23" t="str">
        <x:v>Removed from the Week 3 board; hold only where roster space allows.</x:v>
      </x:c>
      <x:c r="L21" s="23" t="str">
        <x:v>Verified reinstatement or official return date</x:v>
      </x:c>
    </x:row>
    <x:row r="22">
      <x:c r="A22" s="12" t="str">
        <x:v>Chris Olave</x:v>
      </x:c>
      <x:c r="B22" s="12" t="str">
        <x:v>WR</x:v>
      </x:c>
      <x:c r="C22" s="16" t="n">
        <x:v>0.9666666666666667</x:v>
      </x:c>
      <x:c r="D22" s="16" t="n">
        <x:v>1</x:v>
      </x:c>
      <x:c r="E22" s="16" t="n">
        <x:v>1</x:v>
      </x:c>
      <x:c r="F22" s="16" t="n">
        <x:v>0.99</x:v>
      </x:c>
      <x:c r="G22" s="16" t="n">
        <x:v>1</x:v>
      </x:c>
      <x:c r="H22" s="16" t="n">
        <x:v>1</x:v>
      </x:c>
      <x:c r="I22" s="16" t="n">
        <x:v>1</x:v>
      </x:c>
      <x:c r="J22" s="16" t="n">
        <x:v>1</x:v>
      </x:c>
      <x:c r="K22" s="23" t="str">
        <x:v>Current role and availability baseline; all adjustment factors shown numerically</x:v>
      </x:c>
      <x:c r="L22" s="23" t="str">
        <x:v>Material injury, depth-chart, or role change</x:v>
      </x:c>
    </x:row>
    <x:row r="23">
      <x:c r="A23" s="12" t="str">
        <x:v>DJ Moore</x:v>
      </x:c>
      <x:c r="B23" s="12" t="str">
        <x:v>WR</x:v>
      </x:c>
      <x:c r="C23" s="16" t="n">
        <x:v>0.9666666666666667</x:v>
      </x:c>
      <x:c r="D23" s="16" t="n">
        <x:v>1</x:v>
      </x:c>
      <x:c r="E23" s="16" t="n">
        <x:v>1</x:v>
      </x:c>
      <x:c r="F23" s="16" t="n">
        <x:v>1.04</x:v>
      </x:c>
      <x:c r="G23" s="16" t="n">
        <x:v>0.98</x:v>
      </x:c>
      <x:c r="H23" s="16" t="n">
        <x:v>1</x:v>
      </x:c>
      <x:c r="I23" s="16" t="n">
        <x:v>1</x:v>
      </x:c>
      <x:c r="J23" s="16" t="n">
        <x:v>1</x:v>
      </x:c>
      <x:c r="K23" s="23" t="str">
        <x:v>Current role and availability baseline; all adjustment factors shown numerically</x:v>
      </x:c>
      <x:c r="L23" s="23" t="str">
        <x:v>Material injury, depth-chart, or role change</x:v>
      </x:c>
    </x:row>
    <x:row r="24">
      <x:c r="A24" s="12" t="str">
        <x:v>Davante Adams</x:v>
      </x:c>
      <x:c r="B24" s="12" t="str">
        <x:v>WR</x:v>
      </x:c>
      <x:c r="C24" s="16" t="n">
        <x:v>1</x:v>
      </x:c>
      <x:c r="D24" s="16" t="n">
        <x:v>1</x:v>
      </x:c>
      <x:c r="E24" s="16" t="n">
        <x:v>1.08</x:v>
      </x:c>
      <x:c r="F24" s="16" t="n">
        <x:v>1.03</x:v>
      </x:c>
      <x:c r="G24" s="16" t="n">
        <x:v>0.92</x:v>
      </x:c>
      <x:c r="H24" s="16" t="n">
        <x:v>1</x:v>
      </x:c>
      <x:c r="I24" s="16" t="n">
        <x:v>1</x:v>
      </x:c>
      <x:c r="J24" s="16" t="n">
        <x:v>1</x:v>
      </x:c>
      <x:c r="K24" s="23" t="str">
        <x:v>Temporary target and red-zone share increase while Nacua remains uncertain.</x:v>
      </x:c>
      <x:c r="L24" s="23" t="str">
        <x:v>Nacua full practice without restrictions</x:v>
      </x:c>
    </x:row>
    <x:row r="25">
      <x:c r="A25" s="12" t="str">
        <x:v>Malik Nabers</x:v>
      </x:c>
      <x:c r="B25" s="12" t="str">
        <x:v>WR</x:v>
      </x:c>
      <x:c r="C25" s="16" t="n">
        <x:v>1</x:v>
      </x:c>
      <x:c r="D25" s="16" t="n">
        <x:v>1</x:v>
      </x:c>
      <x:c r="E25" s="16" t="n">
        <x:v>1</x:v>
      </x:c>
      <x:c r="F25" s="16" t="n">
        <x:v>0.96</x:v>
      </x:c>
      <x:c r="G25" s="16" t="n">
        <x:v>1.02</x:v>
      </x:c>
      <x:c r="H25" s="16" t="n">
        <x:v>1</x:v>
      </x:c>
      <x:c r="I25" s="16" t="n">
        <x:v>1</x:v>
      </x:c>
      <x:c r="J25" s="16" t="n">
        <x:v>1</x:v>
      </x:c>
      <x:c r="K25" s="23" t="str">
        <x:v>Rank held with confidence discount while structural damage is evaluated</x:v>
      </x:c>
      <x:c r="L25" s="23" t="str">
        <x:v>Imaging, recurrence risk, or route limitation</x:v>
      </x:c>
    </x:row>
    <x:row r="26">
      <x:c r="A26" s="12" t="str">
        <x:v>Puka Nacua</x:v>
      </x:c>
      <x:c r="B26" s="12" t="str">
        <x:v>WR</x:v>
      </x:c>
      <x:c r="C26" s="16" t="n">
        <x:v>0.62</x:v>
      </x:c>
      <x:c r="D26" s="16" t="n">
        <x:v>0.95</x:v>
      </x:c>
      <x:c r="E26" s="16" t="n">
        <x:v>1</x:v>
      </x:c>
      <x:c r="F26" s="16" t="n">
        <x:v>1.03</x:v>
      </x:c>
      <x:c r="G26" s="16" t="n">
        <x:v>0.92</x:v>
      </x:c>
      <x:c r="H26" s="16" t="n">
        <x:v>1</x:v>
      </x:c>
      <x:c r="I26" s="16" t="n">
        <x:v>1</x:v>
      </x:c>
      <x:c r="J26" s="16" t="n">
        <x:v>1</x:v>
      </x:c>
      <x:c r="K26" s="23" t="str">
        <x:v>Probability-weighted return with a small route/efficiency discount if active.</x:v>
      </x:c>
      <x:c r="L26" s="23" t="str">
        <x:v>Wednesday-Friday practice participation and final designation</x:v>
      </x:c>
    </x:row>
    <x:row r="27">
      <x:c r="A27" s="12" t="str">
        <x:v>Ladd McConkey</x:v>
      </x:c>
      <x:c r="B27" s="12" t="str">
        <x:v>WR</x:v>
      </x:c>
      <x:c r="C27" s="16" t="n">
        <x:v>0.9666666666666667</x:v>
      </x:c>
      <x:c r="D27" s="16" t="n">
        <x:v>1</x:v>
      </x:c>
      <x:c r="E27" s="16" t="n">
        <x:v>1</x:v>
      </x:c>
      <x:c r="F27" s="16" t="n">
        <x:v>1.01</x:v>
      </x:c>
      <x:c r="G27" s="16" t="n">
        <x:v>0.96</x:v>
      </x:c>
      <x:c r="H27" s="16" t="n">
        <x:v>1</x:v>
      </x:c>
      <x:c r="I27" s="16" t="n">
        <x:v>1</x:v>
      </x:c>
      <x:c r="J27" s="16" t="n">
        <x:v>1</x:v>
      </x:c>
      <x:c r="K27" s="23" t="str">
        <x:v>Current role and availability baseline; all adjustment factors shown numerically</x:v>
      </x:c>
      <x:c r="L27" s="23" t="str">
        <x:v>Material injury, depth-chart, or role change</x:v>
      </x:c>
    </x:row>
    <x:row r="28">
      <x:c r="A28" s="12" t="str">
        <x:v>Michael Pittman Jr.</x:v>
      </x:c>
      <x:c r="B28" s="12" t="str">
        <x:v>WR</x:v>
      </x:c>
      <x:c r="C28" s="16" t="n">
        <x:v>0.9333333333333333</x:v>
      </x:c>
      <x:c r="D28" s="16" t="n">
        <x:v>1</x:v>
      </x:c>
      <x:c r="E28" s="16" t="n">
        <x:v>1.08</x:v>
      </x:c>
      <x:c r="F28" s="16" t="n">
        <x:v>0.99</x:v>
      </x:c>
      <x:c r="G28" s="16" t="n">
        <x:v>1</x:v>
      </x:c>
      <x:c r="H28" s="16" t="n">
        <x:v>1</x:v>
      </x:c>
      <x:c r="I28" s="16" t="n">
        <x:v>1</x:v>
      </x:c>
      <x:c r="J28" s="16" t="n">
        <x:v>1</x:v>
      </x:c>
      <x:c r="K28" s="23" t="str">
        <x:v>Target and route concentration rises with Pierce out several weeks.</x:v>
      </x:c>
      <x:c r="L28" s="23" t="str">
        <x:v>Slayton earns a full-time route role or Pierce returns</x:v>
      </x:c>
    </x:row>
    <x:row r="29">
      <x:c r="A29" s="12" t="str">
        <x:v>Zay Flowers</x:v>
      </x:c>
      <x:c r="B29" s="12" t="str">
        <x:v>WR</x:v>
      </x:c>
      <x:c r="C29" s="16" t="n">
        <x:v>0.58</x:v>
      </x:c>
      <x:c r="D29" s="16" t="n">
        <x:v>0.95</x:v>
      </x:c>
      <x:c r="E29" s="16" t="n">
        <x:v>1</x:v>
      </x:c>
      <x:c r="F29" s="16" t="n">
        <x:v>1.04</x:v>
      </x:c>
      <x:c r="G29" s="16" t="n">
        <x:v>1.05</x:v>
      </x:c>
      <x:c r="H29" s="16" t="n">
        <x:v>1</x:v>
      </x:c>
      <x:c r="I29" s="16" t="n">
        <x:v>1</x:v>
      </x:c>
      <x:c r="J29" s="16" t="n">
        <x:v>1</x:v>
      </x:c>
      <x:c r="K29" s="23" t="str">
        <x:v>Partial return probability with route/efficiency discount if active.</x:v>
      </x:c>
      <x:c r="L29" s="23" t="str">
        <x:v>Wednesday-Friday practice participation</x:v>
      </x:c>
    </x:row>
    <x:row r="30">
      <x:c r="A30" s="12" t="str">
        <x:v>A.J. Brown</x:v>
      </x:c>
      <x:c r="B30" s="12" t="str">
        <x:v>WR</x:v>
      </x:c>
      <x:c r="C30" s="16" t="n">
        <x:v>0.6666666666666666</x:v>
      </x:c>
      <x:c r="D30" s="16" t="n">
        <x:v>1</x:v>
      </x:c>
      <x:c r="E30" s="16" t="n">
        <x:v>1</x:v>
      </x:c>
      <x:c r="F30" s="16" t="n">
        <x:v>0.98</x:v>
      </x:c>
      <x:c r="G30" s="16" t="n">
        <x:v>1.02</x:v>
      </x:c>
      <x:c r="H30" s="16" t="n">
        <x:v>1</x:v>
      </x:c>
      <x:c r="I30" s="16" t="n">
        <x:v>1</x:v>
      </x:c>
      <x:c r="J30" s="16" t="n">
        <x:v>1</x:v>
      </x:c>
      <x:c r="K30" s="23" t="str">
        <x:v>Current role and availability baseline; all adjustment factors shown numerically</x:v>
      </x:c>
      <x:c r="L30" s="23" t="str">
        <x:v>Material injury, depth-chart, or role change</x:v>
      </x:c>
    </x:row>
    <x:row r="31">
      <x:c r="A31" s="12" t="str">
        <x:v>Rashod Bateman</x:v>
      </x:c>
      <x:c r="B31" s="12" t="str">
        <x:v>WR</x:v>
      </x:c>
      <x:c r="C31" s="16" t="n">
        <x:v>1</x:v>
      </x:c>
      <x:c r="D31" s="16" t="n">
        <x:v>1</x:v>
      </x:c>
      <x:c r="E31" s="16" t="n">
        <x:v>1.14</x:v>
      </x:c>
      <x:c r="F31" s="16" t="n">
        <x:v>1.04</x:v>
      </x:c>
      <x:c r="G31" s="16" t="n">
        <x:v>1.05</x:v>
      </x:c>
      <x:c r="H31" s="16" t="n">
        <x:v>1</x:v>
      </x:c>
      <x:c r="I31" s="16" t="n">
        <x:v>1</x:v>
      </x:c>
      <x:c r="J31" s="16" t="n">
        <x:v>1</x:v>
      </x:c>
      <x:c r="K31" s="23" t="str">
        <x:v>Contingent route and deep-target increase if Flowers remains limited or out.</x:v>
      </x:c>
      <x:c r="L31" s="23" t="str">
        <x:v>Flowers full practice</x:v>
      </x:c>
    </x:row>
    <x:row r="32">
      <x:c r="A32" s="12" t="str">
        <x:v>Jauan Jennings</x:v>
      </x:c>
      <x:c r="B32" s="12" t="str">
        <x:v>WR</x:v>
      </x:c>
      <x:c r="C32" s="16" t="n">
        <x:v>0.9333333333333333</x:v>
      </x:c>
      <x:c r="D32" s="16" t="n">
        <x:v>1</x:v>
      </x:c>
      <x:c r="E32" s="16" t="n">
        <x:v>1</x:v>
      </x:c>
      <x:c r="F32" s="16" t="n">
        <x:v>0.99</x:v>
      </x:c>
      <x:c r="G32" s="16" t="n">
        <x:v>1.01</x:v>
      </x:c>
      <x:c r="H32" s="16" t="n">
        <x:v>1</x:v>
      </x:c>
      <x:c r="I32" s="16" t="n">
        <x:v>1</x:v>
      </x:c>
      <x:c r="J32" s="16" t="n">
        <x:v>1</x:v>
      </x:c>
      <x:c r="K32" s="23" t="str">
        <x:v>Current role and availability baseline; all adjustment factors shown numerically</x:v>
      </x:c>
      <x:c r="L32" s="23" t="str">
        <x:v>Material injury, depth-chart, or role change</x:v>
      </x:c>
    </x:row>
    <x:row r="33">
      <x:c r="A33" s="12" t="str">
        <x:v>Nico Collins</x:v>
      </x:c>
      <x:c r="B33" s="12" t="str">
        <x:v>WR</x:v>
      </x:c>
      <x:c r="C33" s="16" t="n">
        <x:v>0.35</x:v>
      </x:c>
      <x:c r="D33" s="16" t="n">
        <x:v>0.96</x:v>
      </x:c>
      <x:c r="E33" s="16" t="n">
        <x:v>1</x:v>
      </x:c>
      <x:c r="F33" s="16" t="n">
        <x:v>0.99</x:v>
      </x:c>
      <x:c r="G33" s="16" t="n">
        <x:v>1.03</x:v>
      </x:c>
      <x:c r="H33" s="16" t="n">
        <x:v>1</x:v>
      </x:c>
      <x:c r="I33" s="16" t="n">
        <x:v>1</x:v>
      </x:c>
      <x:c r="J33" s="16" t="n">
        <x:v>1</x:v>
      </x:c>
      <x:c r="K33" s="23" t="str">
        <x:v>Low early-week play probability after a second hamstring issue in three seasons.</x:v>
      </x:c>
      <x:c r="L33" s="23" t="str">
        <x:v>Wednesday-Friday practice participation</x:v>
      </x:c>
    </x:row>
    <x:row r="34">
      <x:c r="A34" s="12" t="str">
        <x:v>Jaylin Noel</x:v>
      </x:c>
      <x:c r="B34" s="12" t="str">
        <x:v>WR</x:v>
      </x:c>
      <x:c r="C34" s="16" t="n">
        <x:v>1</x:v>
      </x:c>
      <x:c r="D34" s="16" t="n">
        <x:v>1</x:v>
      </x:c>
      <x:c r="E34" s="16" t="n">
        <x:v>1.16</x:v>
      </x:c>
      <x:c r="F34" s="16" t="n">
        <x:v>0.99</x:v>
      </x:c>
      <x:c r="G34" s="16" t="n">
        <x:v>1.03</x:v>
      </x:c>
      <x:c r="H34" s="16" t="n">
        <x:v>1</x:v>
      </x:c>
      <x:c r="I34" s="16" t="n">
        <x:v>1</x:v>
      </x:c>
      <x:c r="J34" s="16" t="n">
        <x:v>1</x:v>
      </x:c>
      <x:c r="K34" s="23" t="str">
        <x:v>Conditional target redistribution while Collins remains at high risk of missing Week 3.</x:v>
      </x:c>
      <x:c r="L34" s="23" t="str">
        <x:v>Collins returns to full practice</x:v>
      </x:c>
    </x:row>
    <x:row r="35">
      <x:c r="A35" s="12" t="str">
        <x:v>Kayshon Boutte</x:v>
      </x:c>
      <x:c r="B35" s="12" t="str">
        <x:v>WR</x:v>
      </x:c>
      <x:c r="C35" s="16" t="n">
        <x:v>1</x:v>
      </x:c>
      <x:c r="D35" s="16" t="n">
        <x:v>1</x:v>
      </x:c>
      <x:c r="E35" s="16" t="n">
        <x:v>1.16</x:v>
      </x:c>
      <x:c r="F35" s="16" t="n">
        <x:v>0.99</x:v>
      </x:c>
      <x:c r="G35" s="16" t="n">
        <x:v>1.03</x:v>
      </x:c>
      <x:c r="H35" s="16" t="n">
        <x:v>1</x:v>
      </x:c>
      <x:c r="I35" s="16" t="n">
        <x:v>1</x:v>
      </x:c>
      <x:c r="J35" s="16" t="n">
        <x:v>1</x:v>
      </x:c>
      <x:c r="K35" s="23" t="str">
        <x:v>Conditional target redistribution while Collins remains at high risk of missing Week 3.</x:v>
      </x:c>
      <x:c r="L35" s="23" t="str">
        <x:v>Collins returns to full practice</x:v>
      </x:c>
    </x:row>
    <x:row r="36">
      <x:c r="A36" s="12" t="str">
        <x:v>Darius Slayton</x:v>
      </x:c>
      <x:c r="B36" s="12" t="str">
        <x:v>WR</x:v>
      </x:c>
      <x:c r="C36" s="16" t="n">
        <x:v>0.9</x:v>
      </x:c>
      <x:c r="D36" s="16" t="n">
        <x:v>1</x:v>
      </x:c>
      <x:c r="E36" s="16" t="n">
        <x:v>1</x:v>
      </x:c>
      <x:c r="F36" s="16" t="n">
        <x:v>1</x:v>
      </x:c>
      <x:c r="G36" s="16" t="n">
        <x:v>0.95</x:v>
      </x:c>
      <x:c r="H36" s="16" t="n">
        <x:v>1</x:v>
      </x:c>
      <x:c r="I36" s="16" t="n">
        <x:v>1</x:v>
      </x:c>
      <x:c r="J36" s="16" t="n">
        <x:v>1</x:v>
      </x:c>
      <x:c r="K36" s="23" t="str">
        <x:v>Immediate deep-route candidate, but timing and route share remain uncertain.</x:v>
      </x:c>
      <x:c r="L36" s="23" t="str">
        <x:v>Wednesday-Friday practice usage and active status</x:v>
      </x:c>
    </x:row>
    <x:row r="37">
      <x:c r="A37" s="12" t="str">
        <x:v>Omar Cooper Jr.</x:v>
      </x:c>
      <x:c r="B37" s="12" t="str">
        <x:v>WR</x:v>
      </x:c>
      <x:c r="C37" s="16" t="n">
        <x:v>0.7333333333333333</x:v>
      </x:c>
      <x:c r="D37" s="16" t="n">
        <x:v>1</x:v>
      </x:c>
      <x:c r="E37" s="16" t="n">
        <x:v>1</x:v>
      </x:c>
      <x:c r="F37" s="16" t="n">
        <x:v>0.97</x:v>
      </x:c>
      <x:c r="G37" s="16" t="n">
        <x:v>1.04</x:v>
      </x:c>
      <x:c r="H37" s="16" t="n">
        <x:v>1</x:v>
      </x:c>
      <x:c r="I37" s="16" t="n">
        <x:v>1</x:v>
      </x:c>
      <x:c r="J37" s="16" t="n">
        <x:v>1</x:v>
      </x:c>
      <x:c r="K37" s="23" t="str">
        <x:v>Current role and availability baseline; all adjustment factors shown numerically</x:v>
      </x:c>
      <x:c r="L37" s="23" t="str">
        <x:v>Material injury, depth-chart, or role change</x:v>
      </x:c>
    </x:row>
    <x:row r="38">
      <x:c r="A38" s="12" t="str">
        <x:v>Jordyn Tyson</x:v>
      </x:c>
      <x:c r="B38" s="12" t="str">
        <x:v>WR</x:v>
      </x:c>
      <x:c r="C38" s="16" t="n">
        <x:v>0.9333333333333333</x:v>
      </x:c>
      <x:c r="D38" s="16" t="n">
        <x:v>1</x:v>
      </x:c>
      <x:c r="E38" s="16" t="n">
        <x:v>1</x:v>
      </x:c>
      <x:c r="F38" s="16" t="n">
        <x:v>0.99</x:v>
      </x:c>
      <x:c r="G38" s="16" t="n">
        <x:v>1</x:v>
      </x:c>
      <x:c r="H38" s="16" t="n">
        <x:v>1</x:v>
      </x:c>
      <x:c r="I38" s="16" t="n">
        <x:v>1</x:v>
      </x:c>
      <x:c r="J38" s="16" t="n">
        <x:v>1</x:v>
      </x:c>
      <x:c r="K38" s="23" t="str">
        <x:v>Current role and availability baseline; all adjustment factors shown numerically</x:v>
      </x:c>
      <x:c r="L38" s="23" t="str">
        <x:v>Material injury, depth-chart, or role change</x:v>
      </x:c>
    </x:row>
    <x:row r="39">
      <x:c r="A39" s="12" t="str">
        <x:v>Ja'Kobi Lane</x:v>
      </x:c>
      <x:c r="B39" s="12" t="str">
        <x:v>WR</x:v>
      </x:c>
      <x:c r="C39" s="16" t="n">
        <x:v>0.7333333333333333</x:v>
      </x:c>
      <x:c r="D39" s="16" t="n">
        <x:v>1</x:v>
      </x:c>
      <x:c r="E39" s="16" t="n">
        <x:v>1</x:v>
      </x:c>
      <x:c r="F39" s="16" t="n">
        <x:v>1.04</x:v>
      </x:c>
      <x:c r="G39" s="16" t="n">
        <x:v>1.05</x:v>
      </x:c>
      <x:c r="H39" s="16" t="n">
        <x:v>1</x:v>
      </x:c>
      <x:c r="I39" s="16" t="n">
        <x:v>1</x:v>
      </x:c>
      <x:c r="J39" s="16" t="n">
        <x:v>1</x:v>
      </x:c>
      <x:c r="K39" s="23" t="str">
        <x:v>Current role and availability baseline; all adjustment factors shown numerically</x:v>
      </x:c>
      <x:c r="L39" s="23" t="str">
        <x:v>Material injury, depth-chart, or role change</x:v>
      </x:c>
    </x:row>
    <x:row r="40">
      <x:c r="A40" s="12" t="str">
        <x:v>Skyler Bell</x:v>
      </x:c>
      <x:c r="B40" s="12" t="str">
        <x:v>WR</x:v>
      </x:c>
      <x:c r="C40" s="16" t="n">
        <x:v>0.9333333333333333</x:v>
      </x:c>
      <x:c r="D40" s="16" t="n">
        <x:v>1</x:v>
      </x:c>
      <x:c r="E40" s="16" t="n">
        <x:v>1</x:v>
      </x:c>
      <x:c r="F40" s="16" t="n">
        <x:v>1.04</x:v>
      </x:c>
      <x:c r="G40" s="16" t="n">
        <x:v>0.98</x:v>
      </x:c>
      <x:c r="H40" s="16" t="n">
        <x:v>1</x:v>
      </x:c>
      <x:c r="I40" s="16" t="n">
        <x:v>1</x:v>
      </x:c>
      <x:c r="J40" s="16" t="n">
        <x:v>1</x:v>
      </x:c>
      <x:c r="K40" s="23" t="str">
        <x:v>Current role and availability baseline; all adjustment factors shown numerically</x:v>
      </x:c>
      <x:c r="L40" s="23" t="str">
        <x:v>Material injury, depth-chart, or role change</x:v>
      </x:c>
    </x:row>
    <x:row r="41">
      <x:c r="A41" s="12" t="str">
        <x:v>De'Zhaun Stribling</x:v>
      </x:c>
      <x:c r="B41" s="12" t="str">
        <x:v>WR</x:v>
      </x:c>
      <x:c r="C41" s="16" t="n">
        <x:v>0.36666666666666664</x:v>
      </x:c>
      <x:c r="D41" s="16" t="n">
        <x:v>1</x:v>
      </x:c>
      <x:c r="E41" s="16" t="n">
        <x:v>1</x:v>
      </x:c>
      <x:c r="F41" s="16" t="n">
        <x:v>1.02</x:v>
      </x:c>
      <x:c r="G41" s="16" t="n">
        <x:v>1</x:v>
      </x:c>
      <x:c r="H41" s="16" t="n">
        <x:v>1</x:v>
      </x:c>
      <x:c r="I41" s="16" t="n">
        <x:v>1</x:v>
      </x:c>
      <x:c r="J41" s="16" t="n">
        <x:v>1</x:v>
      </x:c>
      <x:c r="K41" s="23" t="str">
        <x:v>Current role and availability baseline; all adjustment factors shown numerically</x:v>
      </x:c>
      <x:c r="L41" s="23" t="str">
        <x:v>Material injury, depth-chart, or role change</x:v>
      </x:c>
    </x:row>
    <x:row r="42">
      <x:c r="A42" s="12" t="str">
        <x:v>Alec Pierce</x:v>
      </x:c>
      <x:c r="B42" s="12" t="str">
        <x:v>WR</x:v>
      </x:c>
      <x:c r="C42" s="16" t="n">
        <x:v>0</x:v>
      </x:c>
      <x:c r="D42" s="16" t="n">
        <x:v>1</x:v>
      </x:c>
      <x:c r="E42" s="16" t="n">
        <x:v>1</x:v>
      </x:c>
      <x:c r="F42" s="16" t="n">
        <x:v>1</x:v>
      </x:c>
      <x:c r="G42" s="16" t="n">
        <x:v>0.95</x:v>
      </x:c>
      <x:c r="H42" s="16" t="n">
        <x:v>1</x:v>
      </x:c>
      <x:c r="I42" s="16" t="n">
        <x:v>1</x:v>
      </x:c>
      <x:c r="J42" s="16" t="n">
        <x:v>1</x:v>
      </x:c>
      <x:c r="K42" s="23" t="str">
        <x:v>Removed from Week 3; Indianapolis routes redistributed.</x:v>
      </x:c>
      <x:c r="L42" s="23" t="str">
        <x:v>Medical clearance and return-to-practice window</x:v>
      </x:c>
    </x:row>
    <x:row r="43">
      <x:c r="A43" s="12" t="str">
        <x:v>Brock Bowers</x:v>
      </x:c>
      <x:c r="B43" s="12" t="str">
        <x:v>TE</x:v>
      </x:c>
      <x:c r="C43" s="16" t="n">
        <x:v>0.9333333333333333</x:v>
      </x:c>
      <x:c r="D43" s="16" t="n">
        <x:v>1</x:v>
      </x:c>
      <x:c r="E43" s="16" t="n">
        <x:v>1</x:v>
      </x:c>
      <x:c r="F43" s="16" t="n">
        <x:v>0.98</x:v>
      </x:c>
      <x:c r="G43" s="16" t="n">
        <x:v>1.02</x:v>
      </x:c>
      <x:c r="H43" s="16" t="n">
        <x:v>1</x:v>
      </x:c>
      <x:c r="I43" s="16" t="n">
        <x:v>1</x:v>
      </x:c>
      <x:c r="J43" s="16" t="n">
        <x:v>1</x:v>
      </x:c>
      <x:c r="K43" s="23" t="str">
        <x:v>Current role and availability baseline; all adjustment factors shown numerically</x:v>
      </x:c>
      <x:c r="L43" s="23" t="str">
        <x:v>Material injury, depth-chart, or role change</x:v>
      </x:c>
    </x:row>
    <x:row r="44">
      <x:c r="A44" s="12" t="str">
        <x:v>Mark Andrews</x:v>
      </x:c>
      <x:c r="B44" s="12" t="str">
        <x:v>TE</x:v>
      </x:c>
      <x:c r="C44" s="16" t="n">
        <x:v>1</x:v>
      </x:c>
      <x:c r="D44" s="16" t="n">
        <x:v>1</x:v>
      </x:c>
      <x:c r="E44" s="16" t="n">
        <x:v>1.08</x:v>
      </x:c>
      <x:c r="F44" s="16" t="n">
        <x:v>1.04</x:v>
      </x:c>
      <x:c r="G44" s="16" t="n">
        <x:v>1.05</x:v>
      </x:c>
      <x:c r="H44" s="16" t="n">
        <x:v>1</x:v>
      </x:c>
      <x:c r="I44" s="16" t="n">
        <x:v>1</x:v>
      </x:c>
      <x:c r="J44" s="16" t="n">
        <x:v>1</x:v>
      </x:c>
      <x:c r="K44" s="23" t="str">
        <x:v>First target-share beneficiary if Flowers remains limited or out.</x:v>
      </x:c>
      <x:c r="L44" s="23" t="str">
        <x:v>Flowers full practice</x:v>
      </x:c>
    </x:row>
    <x:row r="45">
      <x:c r="A45" s="12" t="str">
        <x:v>Terrance Ferguson</x:v>
      </x:c>
      <x:c r="B45" s="12" t="str">
        <x:v>TE</x:v>
      </x:c>
      <x:c r="C45" s="16" t="n">
        <x:v>1</x:v>
      </x:c>
      <x:c r="D45" s="16" t="n">
        <x:v>1</x:v>
      </x:c>
      <x:c r="E45" s="16" t="n">
        <x:v>1.06</x:v>
      </x:c>
      <x:c r="F45" s="16" t="n">
        <x:v>1.03</x:v>
      </x:c>
      <x:c r="G45" s="16" t="n">
        <x:v>0.92</x:v>
      </x:c>
      <x:c r="H45" s="16" t="n">
        <x:v>1</x:v>
      </x:c>
      <x:c r="I45" s="16" t="n">
        <x:v>1</x:v>
      </x:c>
      <x:c r="J45" s="16" t="n">
        <x:v>1</x:v>
      </x:c>
      <x:c r="K45" s="23" t="str">
        <x:v>Nine-target Week 2 role plus a small contingency bump while Nacua is uncertain.</x:v>
      </x:c>
      <x:c r="L45" s="23" t="str">
        <x:v>Nacua full practice or Ferguson route participation below 60%</x:v>
      </x:c>
    </x:row>
    <x:row r="46">
      <x:c r="A46" s="12" t="str">
        <x:v>Dalton Schultz</x:v>
      </x:c>
      <x:c r="B46" s="12" t="str">
        <x:v>TE</x:v>
      </x:c>
      <x:c r="C46" s="16" t="n">
        <x:v>1</x:v>
      </x:c>
      <x:c r="D46" s="16" t="n">
        <x:v>1</x:v>
      </x:c>
      <x:c r="E46" s="16" t="n">
        <x:v>1.1</x:v>
      </x:c>
      <x:c r="F46" s="16" t="n">
        <x:v>0.99</x:v>
      </x:c>
      <x:c r="G46" s="16" t="n">
        <x:v>1.03</x:v>
      </x:c>
      <x:c r="H46" s="16" t="n">
        <x:v>1</x:v>
      </x:c>
      <x:c r="I46" s="16" t="n">
        <x:v>1</x:v>
      </x:c>
      <x:c r="J46" s="16" t="n">
        <x:v>1</x:v>
      </x:c>
      <x:c r="K46" s="23" t="str">
        <x:v>Conditional target redistribution while Collins remains at high risk of missing Week 3.</x:v>
      </x:c>
      <x:c r="L46" s="23" t="str">
        <x:v>Collins returns to full practice</x:v>
      </x:c>
    </x:row>
    <x:row r="47">
      <x:c r="A47" s="12" t="str">
        <x:v>Zach Ertz</x:v>
      </x:c>
      <x:c r="B47" s="12" t="str">
        <x:v>TE</x:v>
      </x:c>
      <x:c r="C47" s="16" t="n">
        <x:v>0.88</x:v>
      </x:c>
      <x:c r="D47" s="16" t="n">
        <x:v>1</x:v>
      </x:c>
      <x:c r="E47" s="16" t="n">
        <x:v>1</x:v>
      </x:c>
      <x:c r="F47" s="16" t="n">
        <x:v>1.03</x:v>
      </x:c>
      <x:c r="G47" s="16" t="n">
        <x:v>1.02</x:v>
      </x:c>
      <x:c r="H47" s="16" t="n">
        <x:v>1</x:v>
      </x:c>
      <x:c r="I47" s="16" t="n">
        <x:v>1</x:v>
      </x:c>
      <x:c r="J47" s="16" t="n">
        <x:v>1</x:v>
      </x:c>
      <x:c r="K47" s="23" t="str">
        <x:v>Projected short-area committee lead if elevated from the practice squad.</x:v>
      </x:c>
      <x:c r="L47" s="23" t="str">
        <x:v>Practice-squad elevation and route assignment</x:v>
      </x:c>
    </x:row>
    <x:row r="48">
      <x:c r="A48" s="12" t="str">
        <x:v>Chig Okonkwo</x:v>
      </x:c>
      <x:c r="B48" s="12" t="str">
        <x:v>TE</x:v>
      </x:c>
      <x:c r="C48" s="16" t="n">
        <x:v>0.9333333333333333</x:v>
      </x:c>
      <x:c r="D48" s="16" t="n">
        <x:v>1</x:v>
      </x:c>
      <x:c r="E48" s="16" t="n">
        <x:v>1</x:v>
      </x:c>
      <x:c r="F48" s="16" t="n">
        <x:v>0.97</x:v>
      </x:c>
      <x:c r="G48" s="16" t="n">
        <x:v>0.98</x:v>
      </x:c>
      <x:c r="H48" s="16" t="n">
        <x:v>1</x:v>
      </x:c>
      <x:c r="I48" s="16" t="n">
        <x:v>1</x:v>
      </x:c>
      <x:c r="J48" s="16" t="n">
        <x:v>1</x:v>
      </x:c>
      <x:c r="K48" s="23" t="str">
        <x:v>Current role and availability baseline; all adjustment factors shown numerically</x:v>
      </x:c>
      <x:c r="L48" s="23" t="str">
        <x:v>Material injury, depth-chart, or role change</x:v>
      </x:c>
    </x:row>
    <x:row r="49">
      <x:c r="A49" s="12" t="str">
        <x:v>Dallas Goedert</x:v>
      </x:c>
      <x:c r="B49" s="12" t="str">
        <x:v>TE</x:v>
      </x:c>
      <x:c r="C49" s="16" t="n">
        <x:v>0</x:v>
      </x:c>
      <x:c r="D49" s="16" t="n">
        <x:v>1</x:v>
      </x:c>
      <x:c r="E49" s="16" t="n">
        <x:v>1</x:v>
      </x:c>
      <x:c r="F49" s="16" t="n">
        <x:v>1.03</x:v>
      </x:c>
      <x:c r="G49" s="16" t="n">
        <x:v>1.02</x:v>
      </x:c>
      <x:c r="H49" s="16" t="n">
        <x:v>1</x:v>
      </x:c>
      <x:c r="I49" s="16" t="n">
        <x:v>1</x:v>
      </x:c>
      <x:c r="J49" s="16" t="n">
        <x:v>1</x:v>
      </x:c>
      <x:c r="K49" s="23" t="str">
        <x:v>Removed from Week 3 projection.</x:v>
      </x:c>
      <x:c r="L49" s="23" t="str">
        <x:v>Return-to-practice designation</x:v>
      </x:c>
    </x:row>
  </x:sheetData>
  <x:mergeCells>
    <x:mergeCell ref="A1:L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.779998779296875" hidden="0" customWidth="1"/>
    <x:col min="2" max="2" width="20.110000610351562" hidden="0" customWidth="1"/>
    <x:col min="3" max="3" width="52" hidden="0" customWidth="1"/>
    <x:col min="4" max="4" width="72" hidden="0" customWidth="1"/>
  </x:cols>
  <x:sheetData>
    <x:row r="1">
      <x:c r="A1" s="25" t="str">
        <x:v>SOURCES · WEEK 3 INITIAL BOARD</x:v>
      </x:c>
      <x:c r="B1" s="25"/>
      <x:c r="C1" s="25"/>
      <x:c r="D1" s="25"/>
    </x:row>
    <x:row r="3">
      <x:c r="A3" s="9" t="str">
        <x:v>Source</x:v>
      </x:c>
      <x:c r="B3" s="9" t="str">
        <x:v>Date</x:v>
      </x:c>
      <x:c r="C3" s="9" t="str">
        <x:v>Use</x:v>
      </x:c>
      <x:c r="D3" s="9" t="str">
        <x:v>URL / Reference</x:v>
      </x:c>
    </x:row>
    <x:row r="4">
      <x:c r="A4" s="12" t="str">
        <x:v>NFL Week 3 schedule</x:v>
      </x:c>
      <x:c r="B4" s="12" t="str">
        <x:v>NFL schedule / team gamebooks</x:v>
      </x:c>
      <x:c r="C4" s="23" t="str">
        <x:v>Official opponent, date, and venue baseline</x:v>
      </x:c>
      <x:c r="D4" s="23" t="str">
        <x:v>https://www.nfl.com/schedules/2026/REG3/</x:v>
      </x:c>
    </x:row>
    <x:row r="5">
      <x:c r="A5" s="12" t="str">
        <x:v>Atlanta Falcons</x:v>
      </x:c>
      <x:c r="B5" s="12" t="str">
        <x:v>Sep. 23, 2026</x:v>
      </x:c>
      <x:c r="C5" s="23" t="str">
        <x:v>Michael Penix Jr. named Week 3 starter</x:v>
      </x:c>
      <x:c r="D5" s="23" t="str">
        <x:v>https://www.atlantafalcons.com/news/michael-penix-jr-starting-qb-thursday-night-football-vs-packers</x:v>
      </x:c>
    </x:row>
    <x:row r="6">
      <x:c r="A6" s="12" t="str">
        <x:v>ESPN</x:v>
      </x:c>
      <x:c r="B6" s="12" t="str">
        <x:v>Sep. 22, 2026</x:v>
      </x:c>
      <x:c r="C6" s="23" t="str">
        <x:v>Jaxson Dart expected to miss an extended period</x:v>
      </x:c>
      <x:c r="D6" s="23" t="str">
        <x:v>https://www.espn.com/nfl/story/_/id/50007211/sources-giants-qb-jaxson-dart-extended-period</x:v>
      </x:c>
    </x:row>
    <x:row r="7">
      <x:c r="A7" s="12" t="str">
        <x:v>ESPN</x:v>
      </x:c>
      <x:c r="B7" s="12" t="str">
        <x:v>Sep. 22, 2026</x:v>
      </x:c>
      <x:c r="C7" s="23" t="str">
        <x:v>Rams uncertain on Puka Nacua for Week 3</x:v>
      </x:c>
      <x:c r="D7" s="23" t="str">
        <x:v>https://www.espn.com/nfl/story/_/id/50006299/rams-mcvay-unsure-nacua-status-week-3-vs-broncos</x:v>
      </x:c>
    </x:row>
    <x:row r="8">
      <x:c r="A8" s="12" t="str">
        <x:v>ESPN</x:v>
      </x:c>
      <x:c r="B8" s="12" t="str">
        <x:v>Sep. 22, 2026</x:v>
      </x:c>
      <x:c r="C8" s="23" t="str">
        <x:v>Alec Pierce expected to miss several weeks</x:v>
      </x:c>
      <x:c r="D8" s="23" t="str">
        <x:v>https://www.espn.com/nfl/story/_/id/50001573/sources-colts-pierce-weeks-hoping-return-midseason</x:v>
      </x:c>
    </x:row>
    <x:row r="9">
      <x:c r="A9" s="12" t="str">
        <x:v>Reuters</x:v>
      </x:c>
      <x:c r="B9" s="12" t="str">
        <x:v>Sep. 21, 2026</x:v>
      </x:c>
      <x:c r="C9" s="23" t="str">
        <x:v>Eagles reunite with Zach Ertz after Dallas Goedert MCL sprain</x:v>
      </x:c>
      <x:c r="D9" s="23" t="str">
        <x:v>https://www.reuters.com/sports/reports-eagles-reunite-with-te-zach-ertz-after-dallas-goederts-mcl-sprain--flm-2026-09-21/</x:v>
      </x:c>
    </x:row>
    <x:row r="10">
      <x:c r="A10" s="12" t="str">
        <x:v>Reuters</x:v>
      </x:c>
      <x:c r="B10" s="12" t="str">
        <x:v>Sep. 19, 2026</x:v>
      </x:c>
      <x:c r="C10" s="23" t="str">
        <x:v>Zay Flowers ruled out Week 2 with hamstring injury</x:v>
      </x:c>
      <x:c r="D10" s="23" t="str">
        <x:v>https://www.reuters.com/sports/ravens-rule-out-star-wr-zay-flowers-hamstring-vs-saints--flm-2026-09-19/</x:v>
      </x:c>
    </x:row>
    <x:row r="11">
      <x:c r="A11" s="12" t="str">
        <x:v>Fantasy Football Brief</x:v>
      </x:c>
      <x:c r="B11" s="12" t="str">
        <x:v>Sep. 22, 2026</x:v>
      </x:c>
      <x:c r="C11" s="23" t="str">
        <x:v>Auditable ROS game-level projections used as neutral baseline</x:v>
      </x:c>
      <x:c r="D11" s="23" t="str">
        <x:v>Internal workbook: FFB Tuesday ROS ACE Rankings</x:v>
      </x:c>
    </x:row>
    <x:row r="12">
      <x:c r="A12" t="str">
        <x:v>NFL Week 3 injury report</x:v>
      </x:c>
      <x:c r="B12" t="str">
        <x:v>Sep. 24, 2026</x:v>
      </x:c>
      <x:c r="C12" t="str">
        <x:v>Official Week 3 practice/game statuses</x:v>
      </x:c>
      <x:c r="D12" t="str">
        <x:v>https://www.nfl.com/injuries/</x:v>
      </x:c>
    </x:row>
    <x:row r="13">
      <x:c r="A13" t="str">
        <x:v>Green Bay Packers final injury report</x:v>
      </x:c>
      <x:c r="B13" t="str">
        <x:v>Sep. 23, 2026</x:v>
      </x:c>
      <x:c r="C13" t="str">
        <x:v>Reed out; Banks out; final Thursday-game designations</x:v>
      </x:c>
      <x:c r="D13" t="str">
        <x:v>https://www.packers.com/team/injury-report/</x:v>
      </x:c>
    </x:row>
    <x:row r="14">
      <x:c r="A14" t="str">
        <x:v>Atlanta Falcons final injury report</x:v>
      </x:c>
      <x:c r="B14" t="str">
        <x:v>Sep. 23, 2026</x:v>
      </x:c>
      <x:c r="C14" t="str">
        <x:v>Penix starts; Tagovailoa available as backup</x:v>
      </x:c>
      <x:c r="D14" t="str">
        <x:v>https://www.atlantafalcons.com/news/falcons-injury-report-qb-tua-tagovailoa-dl-brandon-dorlus-available-for-atlanta-in-green-bay</x:v>
      </x:c>
    </x:row>
    <x:row r="15">
      <x:c r="A15" t="str">
        <x:v>Baltimore Ravens transaction</x:v>
      </x:c>
      <x:c r="B15" t="str">
        <x:v>Sep. 15, 2026</x:v>
      </x:c>
      <x:c r="C15" t="str">
        <x:v>Jake Moody released; Tyler Loop active kicker</x:v>
      </x:c>
      <x:c r="D15" t="str">
        <x:v>https://www.baltimoreravens.com/news/ravens-sign-wide-receiver-release-jake-moody-gage-larvadain-jakobi-lane-zay-flowers</x:v>
      </x:c>
    </x:row>
    <x:row r="16">
      <x:c r="A16" t="str">
        <x:v>Reuters</x:v>
      </x:c>
      <x:c r="B16" t="str">
        <x:v>Aug. 24, 2026</x:v>
      </x:c>
      <x:c r="C16" t="str">
        <x:v>Saints signed Daniel Carlson; remove duplicate Charlie Smyth projection</x:v>
      </x:c>
      <x:c r="D16" t="str">
        <x:v>https://www.reuters.com/sports/agents-saints-signing-all-pro-k-daniel-carlson--flm-2026-08-24/</x:v>
      </x:c>
    </x:row>
    <x:row r="17">
      <x:c r="A17" t="str">
        <x:v>NBC Sports/Rotoworld Week 3 tracker</x:v>
      </x:c>
      <x:c r="B17" t="str">
        <x:v>Sep. 24, 2026</x:v>
      </x:c>
      <x:c r="C17" t="str">
        <x:v>Verified IR/PUP designations and current injury context</x:v>
      </x:c>
      <x:c r="D17" t="str">
        <x:v>https://www.nbcsports.com/fantasy/football/news/2026-nfl-week-3-injury-report-jaxson-dart-mcl-chargers-down-two-tes-more-49ers-injuries</x:v>
      </x:c>
    </x:row>
    <x:row r="18">
      <x:c r="A18" t="str">
        <x:v>Arizona Cardinals transactions</x:v>
      </x:c>
      <x:c r="B18" t="str">
        <x:v>Aug. 24, 2026</x:v>
      </x:c>
      <x:c r="C18" t="str">
        <x:v>Trey Benson waived/injured</x:v>
      </x:c>
      <x:c r="D18" t="str">
        <x:v>https://www.azcardinals.com/team/transactions/</x:v>
      </x:c>
    </x:row>
    <x:row r="19">
      <x:c r="A19" t="str">
        <x:v>Minnesota Vikings transaction</x:v>
      </x:c>
      <x:c r="B19" t="str">
        <x:v>Sep. 16, 2026</x:v>
      </x:c>
      <x:c r="C19" t="str">
        <x:v>Jordan Mason placed on injured reserve</x:v>
      </x:c>
      <x:c r="D19" t="str">
        <x:v>https://www.vikings.com/news/jordan-mason-injured-reserve-deejay-dallas-signing-2026</x:v>
      </x:c>
    </x:row>
    <x:row r="20">
      <x:c r="A20" t="str">
        <x:v>Carolina Panthers transaction</x:v>
      </x:c>
      <x:c r="B20" t="str">
        <x:v>Sep. 21, 2026</x:v>
      </x:c>
      <x:c r="C20" t="str">
        <x:v>Jonathon Brooks placed on injured reserve</x:v>
      </x:c>
      <x:c r="D20" t="str">
        <x:v>https://www.panthers.com/news/jonathon-brooks-placed-on-injured-reserve-signed-isaiah-simmons</x:v>
      </x:c>
    </x:row>
    <x:row r="21">
      <x:c r="A21" t="str">
        <x:v>Green Bay weather</x:v>
      </x:c>
      <x:c r="B21" t="str">
        <x:v>Sep. 24, 2026</x:v>
      </x:c>
      <x:c r="C21" t="str">
        <x:v>Dry/cool evening; no actionable weather adjustment</x:v>
      </x:c>
      <x:c r="D21" t="str">
        <x:v>Current forecast retrieved 2026-09-24 1:05 PM CT</x:v>
      </x:c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2.329999923706055" hidden="0" customWidth="1"/>
    <x:col min="3" max="3" width="34" hidden="0" customWidth="1"/>
    <x:col min="4" max="4" width="5" hidden="0" customWidth="1"/>
  </x:cols>
  <x:sheetData>
    <x:row r="1">
      <x:c r="A1" s="25" t="str">
        <x:v>AUDIT · WEEK 3 ACE RANKINGS</x:v>
      </x:c>
      <x:c r="B1" s="25"/>
      <x:c r="C1" s="25"/>
      <x:c r="D1" s="25"/>
    </x:row>
    <x:row r="3">
      <x:c r="A3" s="9" t="str">
        <x:v>Test</x:v>
      </x:c>
      <x:c r="B3" s="9" t="str">
        <x:v>Expected</x:v>
      </x:c>
      <x:c r="C3" s="9" t="str">
        <x:v>Actual</x:v>
      </x:c>
      <x:c r="D3" s="9" t="str">
        <x:v>Result</x:v>
      </x:c>
    </x:row>
    <x:row r="4">
      <x:c r="A4" s="12" t="str">
        <x:v>Exactly one projection row per player record</x:v>
      </x:c>
      <x:c r="B4" s="12" t="n">
        <x:v>343</x:v>
      </x:c>
      <x:c r="C4" s="12" t="n">
        <x:v>343</x:v>
      </x:c>
      <x:c r="D4" s="12" t="str">
        <x:v>PASS</x:v>
      </x:c>
    </x:row>
    <x:row r="5">
      <x:c r="A5" s="12" t="str">
        <x:v>Startable summary rows reconcile to active player pool</x:v>
      </x:c>
      <x:c r="B5" s="12" t="n">
        <x:v>322</x:v>
      </x:c>
      <x:c r="C5" s="12" t="n">
        <x:v>322</x:v>
      </x:c>
      <x:c r="D5" s="12" t="str">
        <x:v>PASS</x:v>
      </x:c>
    </x:row>
    <x:row r="6">
      <x:c r="A6" s="12" t="str">
        <x:v>Confirmed unavailable players in public board</x:v>
      </x:c>
      <x:c r="B6" s="12" t="n">
        <x:v>0</x:v>
      </x:c>
      <x:c r="C6" s="12" t="n">
        <x:v>0</x:v>
      </x:c>
      <x:c r="D6" s="12" t="str">
        <x:v>PASS</x:v>
      </x:c>
    </x:row>
    <x:row r="7">
      <x:c r="A7" s="12" t="str">
        <x:v>Clean non-FLEX upload rows reconcile to public player pool</x:v>
      </x:c>
      <x:c r="B7" s="12" t="n">
        <x:v>322</x:v>
      </x:c>
      <x:c r="C7" s="12" t="n">
        <x:v>322</x:v>
      </x:c>
      <x:c r="D7" s="12" t="str">
        <x:v>PASS</x:v>
      </x:c>
    </x:row>
    <x:row r="8">
      <x:c r="A8" s="12" t="str">
        <x:v>FLEX rows reconcile to active RB/WR/TE pool</x:v>
      </x:c>
      <x:c r="B8" s="12" t="n">
        <x:v>225</x:v>
      </x:c>
      <x:c r="C8" s="12" t="n">
        <x:v>225</x:v>
      </x:c>
      <x:c r="D8" s="12" t="str">
        <x:v>PASS</x:v>
      </x:c>
    </x:row>
    <x:row r="9">
      <x:c r="A9" s="12" t="str">
        <x:v>Active kicker pool</x:v>
      </x:c>
      <x:c r="B9" s="12" t="n">
        <x:v>32</x:v>
      </x:c>
      <x:c r="C9" s="12" t="n">
        <x:v>32</x:v>
      </x:c>
      <x:c r="D9" s="12" t="str">
        <x:v>PASS</x:v>
      </x:c>
    </x:row>
    <x:row r="10">
      <x:c r="A10" s="12" t="str">
        <x:v>Thursday change/correction rows include source, reason and point effect</x:v>
      </x:c>
      <x:c r="B10" s="12" t="n">
        <x:v>20</x:v>
      </x:c>
      <x:c r="C10" s="12" t="n">
        <x:v>20</x:v>
      </x:c>
      <x:c r="D10" s="12" t="str">
        <x:v>PASS</x:v>
      </x:c>
    </x:row>
    <x:row r="11">
      <x:c r="A11" s="12" t="str">
        <x:v>Weather uncertainty documented</x:v>
      </x:c>
      <x:c r="B11" s="12" t="str">
        <x:v>No adjustment</x:v>
      </x:c>
      <x:c r="C11" s="12" t="str">
        <x:v>Dry/cool forecast; factor unchanged</x:v>
      </x:c>
      <x:c r="D11" s="12" t="str">
        <x:v>PASS</x:v>
      </x:c>
    </x:row>
    <x:row r="12">
      <x:c r="A12" t="str">
        <x:v>Manual overrides explained</x:v>
      </x:c>
      <x:c r="B12" t="n">
        <x:v>0</x:v>
      </x:c>
      <x:c r="C12" t="n">
        <x:v>0</x:v>
      </x:c>
      <x:c r="D12" t="str">
        <x:v>PASS</x:v>
      </x:c>
    </x:row>
    <x:row r="16">
      <x:c r="A16" t="str">
        <x:v>Correction notes</x:v>
      </x:c>
      <x:c r="B16" t="str">
        <x:v>Projection correction</x:v>
      </x:c>
      <x:c r="C16" t="str">
        <x:v>Original preserved</x:v>
      </x:c>
      <x:c r="D16" t="str">
        <x:v>INFO</x:v>
      </x:c>
    </x:row>
    <x:row r="17">
      <x:c r="A17" t="str">
        <x:v>GB target budget &lt;=attempts</x:v>
      </x:c>
      <x:c r="B17" t="n">
        <x:v>28</x:v>
      </x:c>
      <x:c r="C17" t="n">
        <x:v>29.1396648</x:v>
      </x:c>
      <x:c r="D17" t="str">
        <x:v>PASS</x:v>
      </x:c>
    </x:row>
    <x:row r="18">
      <x:c r="A18" t="str">
        <x:v>All affected routes &lt;=team dropbacks</x:v>
      </x:c>
      <x:c r="B18" t="n">
        <x:v>34</x:v>
      </x:c>
      <x:c r="C18" t="n">
        <x:v>31</x:v>
      </x:c>
      <x:c r="D18" t="str">
        <x:v>PASS</x:v>
      </x:c>
    </x:row>
    <x:row r="19">
      <x:c r="A19" t="str">
        <x:v>Projection correction author</x:v>
      </x:c>
      <x:c r="B19" t="str">
        <x:v>FFB editorial model</x:v>
      </x:c>
      <x:c r="C19" t="str">
        <x:v>2026-09-24 7:40 PM CT</x:v>
      </x:c>
      <x:c r="D19" t="str">
        <x:v>INFO</x:v>
      </x:c>
    </x:row>
  </x:sheetData>
  <x:mergeCells>
    <x:mergeCell ref="A1:D1"/>
  </x:mergeCells>
  <x:conditionalFormatting sqref="D4:D11">
    <x:cfRule type="expression" dxfId="3" priority="1">
      <x:formula>D4="PASS"</x:formula>
    </x:cfRule>
    <x:cfRule type="expression" dxfId="4" priority="2">
      <x:formula>D4="FAIL"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.110000133514404" hidden="0" customWidth="1"/>
    <x:col min="2" max="2" width="26" hidden="0" customWidth="1"/>
    <x:col min="3" max="3" width="4.329999923706055" hidden="0" customWidth="1"/>
    <x:col min="4" max="4" width="6.329999923706055" hidden="0" customWidth="1"/>
    <x:col min="5" max="5" width="3.2200000286102295" hidden="0" customWidth="1"/>
    <x:col min="6" max="6" width="12.220000267028809" hidden="0" customWidth="1"/>
  </x:cols>
  <x:sheetData>
    <x:row r="1">
      <x:c r="A1" s="9" t="str">
        <x:v>Rank</x:v>
      </x:c>
      <x:c r="B1" s="9" t="str">
        <x:v>Player Name</x:v>
      </x:c>
      <x:c r="C1" s="9" t="str">
        <x:v>Team</x:v>
      </x:c>
      <x:c r="D1" s="9" t="str">
        <x:v>Position</x:v>
      </x:c>
      <x:c r="E1" s="9" t="str">
        <x:v>Tier</x:v>
      </x:c>
      <x:c r="F1" s="9" t="str">
        <x:v>Projected Points</x:v>
      </x:c>
    </x:row>
    <x:row r="2">
      <x:c r="A2" s="12" t="n">
        <x:f>'Weekly Projections'!BB2</x:f>
        <x:v>1</x:v>
      </x:c>
      <x:c r="B2" s="12" t="str">
        <x:f>'Weekly Projections'!A2</x:f>
        <x:v>Josh Allen</x:v>
      </x:c>
      <x:c r="C2" s="12" t="str">
        <x:f>'Weekly Projections'!B2</x:f>
        <x:v>BUF</x:v>
      </x:c>
      <x:c r="D2" s="12" t="str">
        <x:f>'Weekly Projections'!C2</x:f>
        <x:v>QB</x:v>
      </x:c>
      <x:c r="E2" s="12" t="n">
        <x:f>'Weekly Projections'!BA2</x:f>
        <x:v>1</x:v>
      </x:c>
      <x:c r="F2" s="17" t="n">
        <x:f>'Weekly Projections'!AW2</x:f>
        <x:v>21.63887553072626</x:v>
      </x:c>
    </x:row>
    <x:row r="3">
      <x:c r="A3" s="12" t="n">
        <x:f>'Weekly Projections'!BB3</x:f>
        <x:v>2</x:v>
      </x:c>
      <x:c r="B3" s="12" t="str">
        <x:f>'Weekly Projections'!A3</x:f>
        <x:v>Lamar Jackson</x:v>
      </x:c>
      <x:c r="C3" s="12" t="str">
        <x:f>'Weekly Projections'!B3</x:f>
        <x:v>BAL</x:v>
      </x:c>
      <x:c r="D3" s="12" t="str">
        <x:f>'Weekly Projections'!C3</x:f>
        <x:v>QB</x:v>
      </x:c>
      <x:c r="E3" s="12" t="n">
        <x:f>'Weekly Projections'!BA3</x:f>
        <x:v>1</x:v>
      </x:c>
      <x:c r="F3" s="17" t="n">
        <x:f>'Weekly Projections'!AW3</x:f>
        <x:v>20.445036871508382</x:v>
      </x:c>
    </x:row>
    <x:row r="4">
      <x:c r="A4" s="12" t="n">
        <x:f>'Weekly Projections'!BB4</x:f>
        <x:v>3</x:v>
      </x:c>
      <x:c r="B4" s="12" t="str">
        <x:f>'Weekly Projections'!A4</x:f>
        <x:v>Jalen Hurts</x:v>
      </x:c>
      <x:c r="C4" s="12" t="str">
        <x:f>'Weekly Projections'!B4</x:f>
        <x:v>PHI</x:v>
      </x:c>
      <x:c r="D4" s="12" t="str">
        <x:f>'Weekly Projections'!C4</x:f>
        <x:v>QB</x:v>
      </x:c>
      <x:c r="E4" s="12" t="n">
        <x:f>'Weekly Projections'!BA4</x:f>
        <x:v>1</x:v>
      </x:c>
      <x:c r="F4" s="17" t="n">
        <x:f>'Weekly Projections'!AW4</x:f>
        <x:v>19.50931452513967</x:v>
      </x:c>
    </x:row>
    <x:row r="5">
      <x:c r="A5" s="12" t="n">
        <x:f>'Weekly Projections'!BB5</x:f>
        <x:v>4</x:v>
      </x:c>
      <x:c r="B5" s="12" t="str">
        <x:f>'Weekly Projections'!A5</x:f>
        <x:v>Jared Goff</x:v>
      </x:c>
      <x:c r="C5" s="12" t="str">
        <x:f>'Weekly Projections'!B5</x:f>
        <x:v>DET</x:v>
      </x:c>
      <x:c r="D5" s="12" t="str">
        <x:f>'Weekly Projections'!C5</x:f>
        <x:v>QB</x:v>
      </x:c>
      <x:c r="E5" s="12" t="n">
        <x:f>'Weekly Projections'!BA5</x:f>
        <x:v>1</x:v>
      </x:c>
      <x:c r="F5" s="17" t="n">
        <x:f>'Weekly Projections'!AW5</x:f>
        <x:v>18.75567106145252</x:v>
      </x:c>
    </x:row>
    <x:row r="6">
      <x:c r="A6" s="12" t="n">
        <x:f>'Weekly Projections'!BB6</x:f>
        <x:v>5</x:v>
      </x:c>
      <x:c r="B6" s="12" t="str">
        <x:f>'Weekly Projections'!A6</x:f>
        <x:v>Patrick Mahomes II</x:v>
      </x:c>
      <x:c r="C6" s="12" t="str">
        <x:f>'Weekly Projections'!B6</x:f>
        <x:v>KC</x:v>
      </x:c>
      <x:c r="D6" s="12" t="str">
        <x:f>'Weekly Projections'!C6</x:f>
        <x:v>QB</x:v>
      </x:c>
      <x:c r="E6" s="12" t="n">
        <x:f>'Weekly Projections'!BA6</x:f>
        <x:v>1</x:v>
      </x:c>
      <x:c r="F6" s="17" t="n">
        <x:f>'Weekly Projections'!AW6</x:f>
        <x:v>18.009706871508378</x:v>
      </x:c>
    </x:row>
    <x:row r="7">
      <x:c r="A7" s="12" t="n">
        <x:f>'Weekly Projections'!BB7</x:f>
        <x:v>6</x:v>
      </x:c>
      <x:c r="B7" s="12" t="str">
        <x:f>'Weekly Projections'!A7</x:f>
        <x:v>Drake Maye</x:v>
      </x:c>
      <x:c r="C7" s="12" t="str">
        <x:f>'Weekly Projections'!B7</x:f>
        <x:v>NE</x:v>
      </x:c>
      <x:c r="D7" s="12" t="str">
        <x:f>'Weekly Projections'!C7</x:f>
        <x:v>QB</x:v>
      </x:c>
      <x:c r="E7" s="12" t="n">
        <x:f>'Weekly Projections'!BA7</x:f>
        <x:v>1</x:v>
      </x:c>
      <x:c r="F7" s="17" t="n">
        <x:f>'Weekly Projections'!AW7</x:f>
        <x:v>17.89228</x:v>
      </x:c>
    </x:row>
    <x:row r="8">
      <x:c r="A8" s="12" t="n">
        <x:f>'Weekly Projections'!BB8</x:f>
        <x:v>7</x:v>
      </x:c>
      <x:c r="B8" s="12" t="str">
        <x:f>'Weekly Projections'!A8</x:f>
        <x:v>Trevor Lawrence</x:v>
      </x:c>
      <x:c r="C8" s="12" t="str">
        <x:f>'Weekly Projections'!B8</x:f>
        <x:v>JAC</x:v>
      </x:c>
      <x:c r="D8" s="12" t="str">
        <x:f>'Weekly Projections'!C8</x:f>
        <x:v>QB</x:v>
      </x:c>
      <x:c r="E8" s="12" t="n">
        <x:f>'Weekly Projections'!BA8</x:f>
        <x:v>2</x:v>
      </x:c>
      <x:c r="F8" s="17" t="n">
        <x:f>'Weekly Projections'!AW8</x:f>
        <x:v>17.805921787709497</x:v>
      </x:c>
    </x:row>
    <x:row r="9">
      <x:c r="A9" s="12" t="n">
        <x:f>'Weekly Projections'!BB9</x:f>
        <x:v>8</x:v>
      </x:c>
      <x:c r="B9" s="12" t="str">
        <x:f>'Weekly Projections'!A9</x:f>
        <x:v>Joe Burrow</x:v>
      </x:c>
      <x:c r="C9" s="12" t="str">
        <x:f>'Weekly Projections'!B9</x:f>
        <x:v>CIN</x:v>
      </x:c>
      <x:c r="D9" s="12" t="str">
        <x:f>'Weekly Projections'!C9</x:f>
        <x:v>QB</x:v>
      </x:c>
      <x:c r="E9" s="12" t="n">
        <x:f>'Weekly Projections'!BA9</x:f>
        <x:v>2</x:v>
      </x:c>
      <x:c r="F9" s="17" t="n">
        <x:f>'Weekly Projections'!AW9</x:f>
        <x:v>17.606021229050278</x:v>
      </x:c>
    </x:row>
    <x:row r="10">
      <x:c r="A10" s="12" t="n">
        <x:f>'Weekly Projections'!BB10</x:f>
        <x:v>9</x:v>
      </x:c>
      <x:c r="B10" s="12" t="str">
        <x:f>'Weekly Projections'!A10</x:f>
        <x:v>Brock Purdy</x:v>
      </x:c>
      <x:c r="C10" s="12" t="str">
        <x:f>'Weekly Projections'!B10</x:f>
        <x:v>SF</x:v>
      </x:c>
      <x:c r="D10" s="12" t="str">
        <x:f>'Weekly Projections'!C10</x:f>
        <x:v>QB</x:v>
      </x:c>
      <x:c r="E10" s="12" t="n">
        <x:f>'Weekly Projections'!BA10</x:f>
        <x:v>2</x:v>
      </x:c>
      <x:c r="F10" s="17" t="n">
        <x:f>'Weekly Projections'!AW10</x:f>
        <x:v>17.468748603351962</x:v>
      </x:c>
    </x:row>
    <x:row r="11">
      <x:c r="A11" s="12" t="n">
        <x:f>'Weekly Projections'!BB11</x:f>
        <x:v>10</x:v>
      </x:c>
      <x:c r="B11" s="12" t="str">
        <x:f>'Weekly Projections'!A11</x:f>
        <x:v>Jordan Love</x:v>
      </x:c>
      <x:c r="C11" s="12" t="str">
        <x:f>'Weekly Projections'!B11</x:f>
        <x:v>GB</x:v>
      </x:c>
      <x:c r="D11" s="12" t="str">
        <x:f>'Weekly Projections'!C11</x:f>
        <x:v>QB</x:v>
      </x:c>
      <x:c r="E11" s="12" t="n">
        <x:f>'Weekly Projections'!BA11</x:f>
        <x:v>2</x:v>
      </x:c>
      <x:c r="F11" s="17" t="n">
        <x:f>'Weekly Projections'!AW11</x:f>
        <x:v>16.208792849162013</x:v>
      </x:c>
    </x:row>
    <x:row r="12">
      <x:c r="A12" s="12" t="n">
        <x:f>'Weekly Projections'!BB12</x:f>
        <x:v>11</x:v>
      </x:c>
      <x:c r="B12" s="12" t="str">
        <x:f>'Weekly Projections'!A12</x:f>
        <x:v>Dak Prescott</x:v>
      </x:c>
      <x:c r="C12" s="12" t="str">
        <x:f>'Weekly Projections'!B12</x:f>
        <x:v>DAL</x:v>
      </x:c>
      <x:c r="D12" s="12" t="str">
        <x:f>'Weekly Projections'!C12</x:f>
        <x:v>QB</x:v>
      </x:c>
      <x:c r="E12" s="12" t="n">
        <x:f>'Weekly Projections'!BA12</x:f>
        <x:v>2</x:v>
      </x:c>
      <x:c r="F12" s="17" t="n">
        <x:f>'Weekly Projections'!AW12</x:f>
        <x:v>16.087284916201114</x:v>
      </x:c>
    </x:row>
    <x:row r="13">
      <x:c r="A13" s="12" t="n">
        <x:f>'Weekly Projections'!BB14</x:f>
        <x:v>12</x:v>
      </x:c>
      <x:c r="B13" s="12" t="str">
        <x:f>'Weekly Projections'!A14</x:f>
        <x:v>Baker Mayfield</x:v>
      </x:c>
      <x:c r="C13" s="12" t="str">
        <x:f>'Weekly Projections'!B14</x:f>
        <x:v>TB</x:v>
      </x:c>
      <x:c r="D13" s="12" t="str">
        <x:f>'Weekly Projections'!C14</x:f>
        <x:v>QB</x:v>
      </x:c>
      <x:c r="E13" s="12" t="n">
        <x:f>'Weekly Projections'!BA14</x:f>
        <x:v>3</x:v>
      </x:c>
      <x:c r="F13" s="17" t="n">
        <x:f>'Weekly Projections'!AW14</x:f>
        <x:v>16.021836201117317</x:v>
      </x:c>
    </x:row>
    <x:row r="14">
      <x:c r="A14" s="12" t="n">
        <x:f>'Weekly Projections'!BB15</x:f>
        <x:v>13</x:v>
      </x:c>
      <x:c r="B14" s="12" t="str">
        <x:f>'Weekly Projections'!A15</x:f>
        <x:v>Kyler Murray</x:v>
      </x:c>
      <x:c r="C14" s="12" t="str">
        <x:f>'Weekly Projections'!B15</x:f>
        <x:v>MIN</x:v>
      </x:c>
      <x:c r="D14" s="12" t="str">
        <x:f>'Weekly Projections'!C15</x:f>
        <x:v>QB</x:v>
      </x:c>
      <x:c r="E14" s="12" t="n">
        <x:f>'Weekly Projections'!BA15</x:f>
        <x:v>3</x:v>
      </x:c>
      <x:c r="F14" s="17" t="n">
        <x:f>'Weekly Projections'!AW15</x:f>
        <x:v>15.898285642458104</x:v>
      </x:c>
    </x:row>
    <x:row r="15">
      <x:c r="A15" s="12" t="n">
        <x:f>'Weekly Projections'!BB16</x:f>
        <x:v>14</x:v>
      </x:c>
      <x:c r="B15" s="12" t="str">
        <x:f>'Weekly Projections'!A16</x:f>
        <x:v>Justin Herbert</x:v>
      </x:c>
      <x:c r="C15" s="12" t="str">
        <x:f>'Weekly Projections'!B16</x:f>
        <x:v>LAC</x:v>
      </x:c>
      <x:c r="D15" s="12" t="str">
        <x:f>'Weekly Projections'!C16</x:f>
        <x:v>QB</x:v>
      </x:c>
      <x:c r="E15" s="12" t="n">
        <x:f>'Weekly Projections'!BA16</x:f>
        <x:v>3</x:v>
      </x:c>
      <x:c r="F15" s="17" t="n">
        <x:f>'Weekly Projections'!AW16</x:f>
        <x:v>15.765724245810057</x:v>
      </x:c>
    </x:row>
    <x:row r="16">
      <x:c r="A16" s="12" t="n">
        <x:f>'Weekly Projections'!BB17</x:f>
        <x:v>15</x:v>
      </x:c>
      <x:c r="B16" s="12" t="str">
        <x:f>'Weekly Projections'!A17</x:f>
        <x:v>Bo Nix</x:v>
      </x:c>
      <x:c r="C16" s="12" t="str">
        <x:f>'Weekly Projections'!B17</x:f>
        <x:v>DEN</x:v>
      </x:c>
      <x:c r="D16" s="12" t="str">
        <x:f>'Weekly Projections'!C17</x:f>
        <x:v>QB</x:v>
      </x:c>
      <x:c r="E16" s="12" t="n">
        <x:f>'Weekly Projections'!BA17</x:f>
        <x:v>3</x:v>
      </x:c>
      <x:c r="F16" s="17" t="n">
        <x:f>'Weekly Projections'!AW17</x:f>
        <x:v>15.459284916201119</x:v>
      </x:c>
    </x:row>
    <x:row r="17">
      <x:c r="A17" s="12" t="n">
        <x:f>'Weekly Projections'!BB18</x:f>
        <x:v>16</x:v>
      </x:c>
      <x:c r="B17" s="12" t="str">
        <x:f>'Weekly Projections'!A18</x:f>
        <x:v>Tyler Shough</x:v>
      </x:c>
      <x:c r="C17" s="12" t="str">
        <x:f>'Weekly Projections'!B18</x:f>
        <x:v>NO</x:v>
      </x:c>
      <x:c r="D17" s="12" t="str">
        <x:f>'Weekly Projections'!C18</x:f>
        <x:v>QB</x:v>
      </x:c>
      <x:c r="E17" s="12" t="n">
        <x:f>'Weekly Projections'!BA18</x:f>
        <x:v>3</x:v>
      </x:c>
      <x:c r="F17" s="17" t="n">
        <x:f>'Weekly Projections'!AW18</x:f>
        <x:v>15.431798882681566</x:v>
      </x:c>
    </x:row>
    <x:row r="18">
      <x:c r="A18" s="12" t="n">
        <x:f>'Weekly Projections'!BB19</x:f>
        <x:v>17</x:v>
      </x:c>
      <x:c r="B18" s="12" t="str">
        <x:f>'Weekly Projections'!A19</x:f>
        <x:v>Matthew Stafford</x:v>
      </x:c>
      <x:c r="C18" s="12" t="str">
        <x:f>'Weekly Projections'!B19</x:f>
        <x:v>LAR</x:v>
      </x:c>
      <x:c r="D18" s="12" t="str">
        <x:f>'Weekly Projections'!C19</x:f>
        <x:v>QB</x:v>
      </x:c>
      <x:c r="E18" s="12" t="n">
        <x:f>'Weekly Projections'!BA19</x:f>
        <x:v>3</x:v>
      </x:c>
      <x:c r="F18" s="17" t="n">
        <x:f>'Weekly Projections'!AW19</x:f>
        <x:v>15.190376983240228</x:v>
      </x:c>
    </x:row>
    <x:row r="19">
      <x:c r="A19" s="12" t="n">
        <x:f>'Weekly Projections'!BB20</x:f>
        <x:v>18</x:v>
      </x:c>
      <x:c r="B19" s="12" t="str">
        <x:f>'Weekly Projections'!A20</x:f>
        <x:v>C.J. Stroud</x:v>
      </x:c>
      <x:c r="C19" s="12" t="str">
        <x:f>'Weekly Projections'!B20</x:f>
        <x:v>HOU</x:v>
      </x:c>
      <x:c r="D19" s="12" t="str">
        <x:f>'Weekly Projections'!C20</x:f>
        <x:v>QB</x:v>
      </x:c>
      <x:c r="E19" s="12" t="n">
        <x:f>'Weekly Projections'!BA20</x:f>
        <x:v>4</x:v>
      </x:c>
      <x:c r="F19" s="17" t="n">
        <x:f>'Weekly Projections'!AW20</x:f>
        <x:v>15.012239497206707</x:v>
      </x:c>
    </x:row>
    <x:row r="20">
      <x:c r="A20" s="12" t="n">
        <x:f>'Weekly Projections'!BB21</x:f>
        <x:v>19</x:v>
      </x:c>
      <x:c r="B20" s="12" t="str">
        <x:f>'Weekly Projections'!A21</x:f>
        <x:v>Michael Penix Jr.</x:v>
      </x:c>
      <x:c r="C20" s="12" t="str">
        <x:f>'Weekly Projections'!B21</x:f>
        <x:v>ATL</x:v>
      </x:c>
      <x:c r="D20" s="12" t="str">
        <x:f>'Weekly Projections'!C21</x:f>
        <x:v>QB</x:v>
      </x:c>
      <x:c r="E20" s="12" t="n">
        <x:f>'Weekly Projections'!BA21</x:f>
        <x:v>4</x:v>
      </x:c>
      <x:c r="F20" s="17" t="n">
        <x:f>'Weekly Projections'!AW21</x:f>
        <x:v>14.593700898324023</x:v>
      </x:c>
    </x:row>
    <x:row r="21">
      <x:c r="A21" s="12" t="n">
        <x:f>'Weekly Projections'!BB22</x:f>
        <x:v>20</x:v>
      </x:c>
      <x:c r="B21" s="12" t="str">
        <x:f>'Weekly Projections'!A22</x:f>
        <x:v>Geno Smith</x:v>
      </x:c>
      <x:c r="C21" s="12" t="str">
        <x:f>'Weekly Projections'!B22</x:f>
        <x:v>NYJ</x:v>
      </x:c>
      <x:c r="D21" s="12" t="str">
        <x:f>'Weekly Projections'!C22</x:f>
        <x:v>QB</x:v>
      </x:c>
      <x:c r="E21" s="12" t="n">
        <x:f>'Weekly Projections'!BA22</x:f>
        <x:v>4</x:v>
      </x:c>
      <x:c r="F21" s="17" t="n">
        <x:f>'Weekly Projections'!AW22</x:f>
        <x:v>14.33473340782123</x:v>
      </x:c>
    </x:row>
    <x:row r="22">
      <x:c r="A22" s="12" t="n">
        <x:f>'Weekly Projections'!BB23</x:f>
        <x:v>21</x:v>
      </x:c>
      <x:c r="B22" s="12" t="str">
        <x:f>'Weekly Projections'!A23</x:f>
        <x:v>Cam Ward</x:v>
      </x:c>
      <x:c r="C22" s="12" t="str">
        <x:f>'Weekly Projections'!B23</x:f>
        <x:v>TEN</x:v>
      </x:c>
      <x:c r="D22" s="12" t="str">
        <x:f>'Weekly Projections'!C23</x:f>
        <x:v>QB</x:v>
      </x:c>
      <x:c r="E22" s="12" t="n">
        <x:f>'Weekly Projections'!BA23</x:f>
        <x:v>4</x:v>
      </x:c>
      <x:c r="F22" s="17" t="n">
        <x:f>'Weekly Projections'!AW23</x:f>
        <x:v>14.324898324022351</x:v>
      </x:c>
    </x:row>
    <x:row r="23">
      <x:c r="A23" s="12" t="n">
        <x:f>'Weekly Projections'!BB24</x:f>
        <x:v>22</x:v>
      </x:c>
      <x:c r="B23" s="12" t="str">
        <x:f>'Weekly Projections'!A24</x:f>
        <x:v>Marcus Mariota</x:v>
      </x:c>
      <x:c r="C23" s="12" t="str">
        <x:f>'Weekly Projections'!B24</x:f>
        <x:v>WAS</x:v>
      </x:c>
      <x:c r="D23" s="12" t="str">
        <x:f>'Weekly Projections'!C24</x:f>
        <x:v>QB</x:v>
      </x:c>
      <x:c r="E23" s="12" t="n">
        <x:f>'Weekly Projections'!BA24</x:f>
        <x:v>4</x:v>
      </x:c>
      <x:c r="F23" s="17" t="n">
        <x:f>'Weekly Projections'!AW24</x:f>
        <x:v>14.322146726256985</x:v>
      </x:c>
    </x:row>
    <x:row r="24">
      <x:c r="A24" s="12" t="n">
        <x:f>'Weekly Projections'!BB25</x:f>
        <x:v>23</x:v>
      </x:c>
      <x:c r="B24" s="12" t="str">
        <x:f>'Weekly Projections'!A25</x:f>
        <x:v>Malik Willis</x:v>
      </x:c>
      <x:c r="C24" s="12" t="str">
        <x:f>'Weekly Projections'!B25</x:f>
        <x:v>MIA</x:v>
      </x:c>
      <x:c r="D24" s="12" t="str">
        <x:f>'Weekly Projections'!C25</x:f>
        <x:v>QB</x:v>
      </x:c>
      <x:c r="E24" s="12" t="n">
        <x:f>'Weekly Projections'!BA25</x:f>
        <x:v>4</x:v>
      </x:c>
      <x:c r="F24" s="17" t="n">
        <x:f>'Weekly Projections'!AW25</x:f>
        <x:v>14.279621229050282</x:v>
      </x:c>
    </x:row>
    <x:row r="25">
      <x:c r="A25" s="12" t="n">
        <x:f>'Weekly Projections'!BB26</x:f>
        <x:v>24</x:v>
      </x:c>
      <x:c r="B25" s="12" t="str">
        <x:f>'Weekly Projections'!A26</x:f>
        <x:v>Bryce Young</x:v>
      </x:c>
      <x:c r="C25" s="12" t="str">
        <x:f>'Weekly Projections'!B26</x:f>
        <x:v>CAR</x:v>
      </x:c>
      <x:c r="D25" s="12" t="str">
        <x:f>'Weekly Projections'!C26</x:f>
        <x:v>QB</x:v>
      </x:c>
      <x:c r="E25" s="12" t="n">
        <x:f>'Weekly Projections'!BA26</x:f>
        <x:v>5</x:v>
      </x:c>
      <x:c r="F25" s="17" t="n">
        <x:f>'Weekly Projections'!AW26</x:f>
        <x:v>14.254291620111731</x:v>
      </x:c>
    </x:row>
    <x:row r="26">
      <x:c r="A26" s="12" t="n">
        <x:f>'Weekly Projections'!BB27</x:f>
        <x:v>25</x:v>
      </x:c>
      <x:c r="B26" s="12" t="str">
        <x:f>'Weekly Projections'!A27</x:f>
        <x:v>Jacoby Brissett</x:v>
      </x:c>
      <x:c r="C26" s="12" t="str">
        <x:f>'Weekly Projections'!B27</x:f>
        <x:v>ARI</x:v>
      </x:c>
      <x:c r="D26" s="12" t="str">
        <x:f>'Weekly Projections'!C27</x:f>
        <x:v>QB</x:v>
      </x:c>
      <x:c r="E26" s="12" t="n">
        <x:f>'Weekly Projections'!BA27</x:f>
        <x:v>5</x:v>
      </x:c>
      <x:c r="F26" s="17" t="n">
        <x:f>'Weekly Projections'!AW27</x:f>
        <x:v>13.374893854748606</x:v>
      </x:c>
    </x:row>
    <x:row r="27">
      <x:c r="A27" s="12" t="n">
        <x:f>'Weekly Projections'!BB28</x:f>
        <x:v>26</x:v>
      </x:c>
      <x:c r="B27" s="12" t="str">
        <x:f>'Weekly Projections'!A28</x:f>
        <x:v>Aaron Rodgers</x:v>
      </x:c>
      <x:c r="C27" s="12" t="str">
        <x:f>'Weekly Projections'!B28</x:f>
        <x:v>PIT</x:v>
      </x:c>
      <x:c r="D27" s="12" t="str">
        <x:f>'Weekly Projections'!C28</x:f>
        <x:v>QB</x:v>
      </x:c>
      <x:c r="E27" s="12" t="n">
        <x:f>'Weekly Projections'!BA28</x:f>
        <x:v>5</x:v>
      </x:c>
      <x:c r="F27" s="17" t="n">
        <x:f>'Weekly Projections'!AW28</x:f>
        <x:v>13.255519553072627</x:v>
      </x:c>
    </x:row>
    <x:row r="28">
      <x:c r="A28" s="12" t="n">
        <x:f>'Weekly Projections'!BB29</x:f>
        <x:v>27</x:v>
      </x:c>
      <x:c r="B28" s="12" t="str">
        <x:f>'Weekly Projections'!A29</x:f>
        <x:v>Deshaun Watson</x:v>
      </x:c>
      <x:c r="C28" s="12" t="str">
        <x:f>'Weekly Projections'!B29</x:f>
        <x:v>CLE</x:v>
      </x:c>
      <x:c r="D28" s="12" t="str">
        <x:f>'Weekly Projections'!C29</x:f>
        <x:v>QB</x:v>
      </x:c>
      <x:c r="E28" s="12" t="n">
        <x:f>'Weekly Projections'!BA29</x:f>
        <x:v>5</x:v>
      </x:c>
      <x:c r="F28" s="17" t="n">
        <x:f>'Weekly Projections'!AW29</x:f>
        <x:v>12.820501005586593</x:v>
      </x:c>
    </x:row>
    <x:row r="29">
      <x:c r="A29" s="12" t="n">
        <x:f>'Weekly Projections'!BB30</x:f>
        <x:v>28</x:v>
      </x:c>
      <x:c r="B29" s="12" t="str">
        <x:f>'Weekly Projections'!A30</x:f>
        <x:v>Kirk Cousins</x:v>
      </x:c>
      <x:c r="C29" s="12" t="str">
        <x:f>'Weekly Projections'!B30</x:f>
        <x:v>LV</x:v>
      </x:c>
      <x:c r="D29" s="12" t="str">
        <x:f>'Weekly Projections'!C30</x:f>
        <x:v>QB</x:v>
      </x:c>
      <x:c r="E29" s="12" t="n">
        <x:f>'Weekly Projections'!BA30</x:f>
        <x:v>5</x:v>
      </x:c>
      <x:c r="F29" s="17" t="n">
        <x:f>'Weekly Projections'!AW30</x:f>
        <x:v>12.594565810055869</x:v>
      </x:c>
    </x:row>
    <x:row r="30">
      <x:c r="A30" s="12" t="n">
        <x:f>'Weekly Projections'!BB13</x:f>
        <x:v>29</x:v>
      </x:c>
      <x:c r="B30" s="12" t="str">
        <x:f>'Weekly Projections'!A13</x:f>
        <x:v>Jameis Winston</x:v>
      </x:c>
      <x:c r="C30" s="12" t="str">
        <x:f>'Weekly Projections'!B13</x:f>
        <x:v>NYG</x:v>
      </x:c>
      <x:c r="D30" s="12" t="str">
        <x:f>'Weekly Projections'!C13</x:f>
        <x:v>QB</x:v>
      </x:c>
      <x:c r="E30" s="12" t="n">
        <x:f>'Weekly Projections'!BA13</x:f>
        <x:v>2</x:v>
      </x:c>
      <x:c r="F30" s="17" t="n">
        <x:f>'Weekly Projections'!AW13</x:f>
        <x:v>11.96</x:v>
      </x:c>
    </x:row>
    <x:row r="31">
      <x:c r="A31" s="12" t="n">
        <x:f>'Weekly Projections'!BB31</x:f>
        <x:v>30</x:v>
      </x:c>
      <x:c r="B31" s="12" t="str">
        <x:f>'Weekly Projections'!A31</x:f>
        <x:v>Daniel Jones</x:v>
      </x:c>
      <x:c r="C31" s="12" t="str">
        <x:f>'Weekly Projections'!B31</x:f>
        <x:v>IND</x:v>
      </x:c>
      <x:c r="D31" s="12" t="str">
        <x:f>'Weekly Projections'!C31</x:f>
        <x:v>QB</x:v>
      </x:c>
      <x:c r="E31" s="12" t="n">
        <x:f>'Weekly Projections'!BA31</x:f>
        <x:v>5</x:v>
      </x:c>
      <x:c r="F31" s="17" t="n">
        <x:f>'Weekly Projections'!AW31</x:f>
        <x:v>11.163854748603352</x:v>
      </x:c>
    </x:row>
    <x:row r="32">
      <x:c r="A32" s="12" t="n">
        <x:f>'Weekly Projections'!BB32</x:f>
        <x:v>31</x:v>
      </x:c>
      <x:c r="B32" s="12" t="str">
        <x:f>'Weekly Projections'!A32</x:f>
        <x:v>Sam Darnold</x:v>
      </x:c>
      <x:c r="C32" s="12" t="str">
        <x:f>'Weekly Projections'!B32</x:f>
        <x:v>SEA</x:v>
      </x:c>
      <x:c r="D32" s="12" t="str">
        <x:f>'Weekly Projections'!C32</x:f>
        <x:v>QB</x:v>
      </x:c>
      <x:c r="E32" s="12" t="n">
        <x:f>'Weekly Projections'!BA32</x:f>
        <x:v>6</x:v>
      </x:c>
      <x:c r="F32" s="17" t="n">
        <x:f>'Weekly Projections'!AW32</x:f>
        <x:v>11.15189255865922</x:v>
      </x:c>
    </x:row>
    <x:row r="33">
      <x:c r="A33" s="12" t="n">
        <x:f>'Weekly Projections'!BB33</x:f>
        <x:v>32</x:v>
      </x:c>
      <x:c r="B33" s="12" t="str">
        <x:f>'Weekly Projections'!A33</x:f>
        <x:v>Caleb Williams</x:v>
      </x:c>
      <x:c r="C33" s="12" t="str">
        <x:f>'Weekly Projections'!B33</x:f>
        <x:v>CHI</x:v>
      </x:c>
      <x:c r="D33" s="12" t="str">
        <x:f>'Weekly Projections'!C33</x:f>
        <x:v>QB</x:v>
      </x:c>
      <x:c r="E33" s="12" t="n">
        <x:f>'Weekly Projections'!BA33</x:f>
        <x:v>6</x:v>
      </x:c>
      <x:c r="F33" s="17" t="n">
        <x:f>'Weekly Projections'!AW33</x:f>
        <x:v>9.131891006927374</x:v>
      </x:c>
    </x:row>
    <x:row r="34">
      <x:c r="A34" s="12" t="n">
        <x:f>'Weekly Projections'!BB34</x:f>
        <x:v>33</x:v>
      </x:c>
      <x:c r="B34" s="12" t="str">
        <x:f>'Weekly Projections'!A34</x:f>
        <x:v>Case Keenum</x:v>
      </x:c>
      <x:c r="C34" s="12" t="str">
        <x:f>'Weekly Projections'!B34</x:f>
        <x:v>CHI</x:v>
      </x:c>
      <x:c r="D34" s="12" t="str">
        <x:f>'Weekly Projections'!C34</x:f>
        <x:v>QB</x:v>
      </x:c>
      <x:c r="E34" s="12" t="n">
        <x:f>'Weekly Projections'!BA34</x:f>
        <x:v>6</x:v>
      </x:c>
      <x:c r="F34" s="17" t="n">
        <x:f>'Weekly Projections'!AW34</x:f>
        <x:v>4.847687999999999</x:v>
      </x:c>
    </x:row>
    <x:row r="35">
      <x:c r="A35" s="12" t="n">
        <x:f>'Weekly Projections'!BB37</x:f>
        <x:v>1</x:v>
      </x:c>
      <x:c r="B35" s="12" t="str">
        <x:f>'Weekly Projections'!A37</x:f>
        <x:v>Jahmyr Gibbs</x:v>
      </x:c>
      <x:c r="C35" s="12" t="str">
        <x:f>'Weekly Projections'!B37</x:f>
        <x:v>DET</x:v>
      </x:c>
      <x:c r="D35" s="12" t="str">
        <x:f>'Weekly Projections'!C37</x:f>
        <x:v>RB</x:v>
      </x:c>
      <x:c r="E35" s="12" t="n">
        <x:f>'Weekly Projections'!BA37</x:f>
        <x:v>1</x:v>
      </x:c>
      <x:c r="F35" s="17" t="n">
        <x:f>'Weekly Projections'!AW37</x:f>
        <x:v>20.199947368421057</x:v>
      </x:c>
    </x:row>
    <x:row r="36">
      <x:c r="A36" s="12" t="n">
        <x:f>'Weekly Projections'!BB38</x:f>
        <x:v>2</x:v>
      </x:c>
      <x:c r="B36" s="12" t="str">
        <x:f>'Weekly Projections'!A38</x:f>
        <x:v>Bijan Robinson</x:v>
      </x:c>
      <x:c r="C36" s="12" t="str">
        <x:f>'Weekly Projections'!B38</x:f>
        <x:v>ATL</x:v>
      </x:c>
      <x:c r="D36" s="12" t="str">
        <x:f>'Weekly Projections'!C38</x:f>
        <x:v>RB</x:v>
      </x:c>
      <x:c r="E36" s="12" t="n">
        <x:f>'Weekly Projections'!BA38</x:f>
        <x:v>1</x:v>
      </x:c>
      <x:c r="F36" s="17" t="n">
        <x:f>'Weekly Projections'!AW38</x:f>
        <x:v>18.18931821862348</x:v>
      </x:c>
    </x:row>
    <x:row r="37">
      <x:c r="A37" s="12" t="n">
        <x:f>'Weekly Projections'!BB39</x:f>
        <x:v>3</x:v>
      </x:c>
      <x:c r="B37" s="12" t="str">
        <x:f>'Weekly Projections'!A39</x:f>
        <x:v>Kenneth Walker III</x:v>
      </x:c>
      <x:c r="C37" s="12" t="str">
        <x:f>'Weekly Projections'!B39</x:f>
        <x:v>KC</x:v>
      </x:c>
      <x:c r="D37" s="12" t="str">
        <x:f>'Weekly Projections'!C39</x:f>
        <x:v>RB</x:v>
      </x:c>
      <x:c r="E37" s="12" t="n">
        <x:f>'Weekly Projections'!BA39</x:f>
        <x:v>1</x:v>
      </x:c>
      <x:c r="F37" s="17" t="n">
        <x:f>'Weekly Projections'!AW39</x:f>
        <x:v>17.440038866396762</x:v>
      </x:c>
    </x:row>
    <x:row r="38">
      <x:c r="A38" s="12" t="n">
        <x:f>'Weekly Projections'!BB40</x:f>
        <x:v>4</x:v>
      </x:c>
      <x:c r="B38" s="12" t="str">
        <x:f>'Weekly Projections'!A40</x:f>
        <x:v>Christian McCaffrey</x:v>
      </x:c>
      <x:c r="C38" s="12" t="str">
        <x:f>'Weekly Projections'!B40</x:f>
        <x:v>SF</x:v>
      </x:c>
      <x:c r="D38" s="12" t="str">
        <x:f>'Weekly Projections'!C40</x:f>
        <x:v>RB</x:v>
      </x:c>
      <x:c r="E38" s="12" t="n">
        <x:f>'Weekly Projections'!BA40</x:f>
        <x:v>1</x:v>
      </x:c>
      <x:c r="F38" s="17" t="n">
        <x:f>'Weekly Projections'!AW40</x:f>
        <x:v>17.201052631578946</x:v>
      </x:c>
    </x:row>
    <x:row r="39">
      <x:c r="A39" s="12" t="n">
        <x:f>'Weekly Projections'!BB41</x:f>
        <x:v>5</x:v>
      </x:c>
      <x:c r="B39" s="12" t="str">
        <x:f>'Weekly Projections'!A41</x:f>
        <x:v>Jonathan Taylor</x:v>
      </x:c>
      <x:c r="C39" s="12" t="str">
        <x:f>'Weekly Projections'!B41</x:f>
        <x:v>IND</x:v>
      </x:c>
      <x:c r="D39" s="12" t="str">
        <x:f>'Weekly Projections'!C41</x:f>
        <x:v>RB</x:v>
      </x:c>
      <x:c r="E39" s="12" t="n">
        <x:f>'Weekly Projections'!BA41</x:f>
        <x:v>1</x:v>
      </x:c>
      <x:c r="F39" s="17" t="n">
        <x:f>'Weekly Projections'!AW41</x:f>
        <x:v>16.201457489878546</x:v>
      </x:c>
    </x:row>
    <x:row r="40">
      <x:c r="A40" s="12" t="n">
        <x:f>'Weekly Projections'!BB42</x:f>
        <x:v>6</x:v>
      </x:c>
      <x:c r="B40" s="12" t="str">
        <x:f>'Weekly Projections'!A42</x:f>
        <x:v>Derrick Henry</x:v>
      </x:c>
      <x:c r="C40" s="12" t="str">
        <x:f>'Weekly Projections'!B42</x:f>
        <x:v>BAL</x:v>
      </x:c>
      <x:c r="D40" s="12" t="str">
        <x:f>'Weekly Projections'!C42</x:f>
        <x:v>RB</x:v>
      </x:c>
      <x:c r="E40" s="12" t="n">
        <x:f>'Weekly Projections'!BA42</x:f>
        <x:v>1</x:v>
      </x:c>
      <x:c r="F40" s="17" t="n">
        <x:f>'Weekly Projections'!AW42</x:f>
        <x:v>16.19747044534413</x:v>
      </x:c>
    </x:row>
    <x:row r="41">
      <x:c r="A41" s="12" t="n">
        <x:f>'Weekly Projections'!BB43</x:f>
        <x:v>7</x:v>
      </x:c>
      <x:c r="B41" s="12" t="str">
        <x:f>'Weekly Projections'!A43</x:f>
        <x:v>James Cook</x:v>
      </x:c>
      <x:c r="C41" s="12" t="str">
        <x:f>'Weekly Projections'!B43</x:f>
        <x:v>BUF</x:v>
      </x:c>
      <x:c r="D41" s="12" t="str">
        <x:f>'Weekly Projections'!C43</x:f>
        <x:v>RB</x:v>
      </x:c>
      <x:c r="E41" s="12" t="n">
        <x:f>'Weekly Projections'!BA43</x:f>
        <x:v>1</x:v>
      </x:c>
      <x:c r="F41" s="17" t="n">
        <x:f>'Weekly Projections'!AW43</x:f>
        <x:v>15.534412955465593</x:v>
      </x:c>
    </x:row>
    <x:row r="42">
      <x:c r="A42" s="12" t="n">
        <x:f>'Weekly Projections'!BB44</x:f>
        <x:v>8</x:v>
      </x:c>
      <x:c r="B42" s="12" t="str">
        <x:f>'Weekly Projections'!A44</x:f>
        <x:v>Ashton Jeanty</x:v>
      </x:c>
      <x:c r="C42" s="12" t="str">
        <x:f>'Weekly Projections'!B44</x:f>
        <x:v>LV</x:v>
      </x:c>
      <x:c r="D42" s="12" t="str">
        <x:f>'Weekly Projections'!C44</x:f>
        <x:v>RB</x:v>
      </x:c>
      <x:c r="E42" s="12" t="n">
        <x:f>'Weekly Projections'!BA44</x:f>
        <x:v>1</x:v>
      </x:c>
      <x:c r="F42" s="17" t="n">
        <x:f>'Weekly Projections'!AW44</x:f>
        <x:v>15.428098785425103</x:v>
      </x:c>
    </x:row>
    <x:row r="43">
      <x:c r="A43" s="12" t="n">
        <x:f>'Weekly Projections'!BB45</x:f>
        <x:v>9</x:v>
      </x:c>
      <x:c r="B43" s="12" t="str">
        <x:f>'Weekly Projections'!A45</x:f>
        <x:v>Saquon Barkley</x:v>
      </x:c>
      <x:c r="C43" s="12" t="str">
        <x:f>'Weekly Projections'!B45</x:f>
        <x:v>PHI</x:v>
      </x:c>
      <x:c r="D43" s="12" t="str">
        <x:f>'Weekly Projections'!C45</x:f>
        <x:v>RB</x:v>
      </x:c>
      <x:c r="E43" s="12" t="n">
        <x:f>'Weekly Projections'!BA45</x:f>
        <x:v>1</x:v>
      </x:c>
      <x:c r="F43" s="17" t="n">
        <x:f>'Weekly Projections'!AW45</x:f>
        <x:v>14.526456680161944</x:v>
      </x:c>
    </x:row>
    <x:row r="44">
      <x:c r="A44" s="12" t="n">
        <x:f>'Weekly Projections'!BB46</x:f>
        <x:v>10</x:v>
      </x:c>
      <x:c r="B44" s="12" t="str">
        <x:f>'Weekly Projections'!A46</x:f>
        <x:v>Chase Brown</x:v>
      </x:c>
      <x:c r="C44" s="12" t="str">
        <x:f>'Weekly Projections'!B46</x:f>
        <x:v>CIN</x:v>
      </x:c>
      <x:c r="D44" s="12" t="str">
        <x:f>'Weekly Projections'!C46</x:f>
        <x:v>RB</x:v>
      </x:c>
      <x:c r="E44" s="12" t="n">
        <x:f>'Weekly Projections'!BA46</x:f>
        <x:v>1</x:v>
      </x:c>
      <x:c r="F44" s="17" t="n">
        <x:f>'Weekly Projections'!AW46</x:f>
        <x:v>13.377352226720651</x:v>
      </x:c>
    </x:row>
    <x:row r="45">
      <x:c r="A45" s="12" t="n">
        <x:f>'Weekly Projections'!BB47</x:f>
        <x:v>11</x:v>
      </x:c>
      <x:c r="B45" s="12" t="str">
        <x:f>'Weekly Projections'!A47</x:f>
        <x:v>Javonte Williams</x:v>
      </x:c>
      <x:c r="C45" s="12" t="str">
        <x:f>'Weekly Projections'!B47</x:f>
        <x:v>DAL</x:v>
      </x:c>
      <x:c r="D45" s="12" t="str">
        <x:f>'Weekly Projections'!C47</x:f>
        <x:v>RB</x:v>
      </x:c>
      <x:c r="E45" s="12" t="n">
        <x:f>'Weekly Projections'!BA47</x:f>
        <x:v>2</x:v>
      </x:c>
      <x:c r="F45" s="17" t="n">
        <x:f>'Weekly Projections'!AW47</x:f>
        <x:v>13.062510121457493</x:v>
      </x:c>
    </x:row>
    <x:row r="46">
      <x:c r="A46" s="12" t="n">
        <x:f>'Weekly Projections'!BB48</x:f>
        <x:v>12</x:v>
      </x:c>
      <x:c r="B46" s="12" t="str">
        <x:f>'Weekly Projections'!A48</x:f>
        <x:v>De'Von Achane</x:v>
      </x:c>
      <x:c r="C46" s="12" t="str">
        <x:f>'Weekly Projections'!B48</x:f>
        <x:v>MIA</x:v>
      </x:c>
      <x:c r="D46" s="12" t="str">
        <x:f>'Weekly Projections'!C48</x:f>
        <x:v>RB</x:v>
      </x:c>
      <x:c r="E46" s="12" t="n">
        <x:f>'Weekly Projections'!BA48</x:f>
        <x:v>2</x:v>
      </x:c>
      <x:c r="F46" s="17" t="n">
        <x:f>'Weekly Projections'!AW48</x:f>
        <x:v>13.048217004048581</x:v>
      </x:c>
    </x:row>
    <x:row r="47">
      <x:c r="A47" s="12" t="n">
        <x:f>'Weekly Projections'!BB49</x:f>
        <x:v>13</x:v>
      </x:c>
      <x:c r="B47" s="12" t="str">
        <x:f>'Weekly Projections'!A49</x:f>
        <x:v>Kyren Williams</x:v>
      </x:c>
      <x:c r="C47" s="12" t="str">
        <x:f>'Weekly Projections'!B49</x:f>
        <x:v>LAR</x:v>
      </x:c>
      <x:c r="D47" s="12" t="str">
        <x:f>'Weekly Projections'!C49</x:f>
        <x:v>RB</x:v>
      </x:c>
      <x:c r="E47" s="12" t="n">
        <x:f>'Weekly Projections'!BA49</x:f>
        <x:v>2</x:v>
      </x:c>
      <x:c r="F47" s="17" t="n">
        <x:f>'Weekly Projections'!AW49</x:f>
        <x:v>12.801276923076927</x:v>
      </x:c>
    </x:row>
    <x:row r="48">
      <x:c r="A48" s="12" t="n">
        <x:f>'Weekly Projections'!BB50</x:f>
        <x:v>14</x:v>
      </x:c>
      <x:c r="B48" s="12" t="str">
        <x:f>'Weekly Projections'!A50</x:f>
        <x:v>Omarion Hampton</x:v>
      </x:c>
      <x:c r="C48" s="12" t="str">
        <x:f>'Weekly Projections'!B50</x:f>
        <x:v>LAC</x:v>
      </x:c>
      <x:c r="D48" s="12" t="str">
        <x:f>'Weekly Projections'!C50</x:f>
        <x:v>RB</x:v>
      </x:c>
      <x:c r="E48" s="12" t="n">
        <x:f>'Weekly Projections'!BA50</x:f>
        <x:v>2</x:v>
      </x:c>
      <x:c r="F48" s="17" t="n">
        <x:f>'Weekly Projections'!AW50</x:f>
        <x:v>12.453415384615385</x:v>
      </x:c>
    </x:row>
    <x:row r="49">
      <x:c r="A49" s="12" t="n">
        <x:f>'Weekly Projections'!BB51</x:f>
        <x:v>15</x:v>
      </x:c>
      <x:c r="B49" s="12" t="str">
        <x:f>'Weekly Projections'!A51</x:f>
        <x:v>Breece Hall</x:v>
      </x:c>
      <x:c r="C49" s="12" t="str">
        <x:f>'Weekly Projections'!B51</x:f>
        <x:v>NYJ</x:v>
      </x:c>
      <x:c r="D49" s="12" t="str">
        <x:f>'Weekly Projections'!C51</x:f>
        <x:v>RB</x:v>
      </x:c>
      <x:c r="E49" s="12" t="n">
        <x:f>'Weekly Projections'!BA51</x:f>
        <x:v>2</x:v>
      </x:c>
      <x:c r="F49" s="17" t="n">
        <x:f>'Weekly Projections'!AW51</x:f>
        <x:v>12.360647773279354</x:v>
      </x:c>
    </x:row>
    <x:row r="50">
      <x:c r="A50" s="12" t="n">
        <x:f>'Weekly Projections'!BB52</x:f>
        <x:v>16</x:v>
      </x:c>
      <x:c r="B50" s="12" t="str">
        <x:f>'Weekly Projections'!A52</x:f>
        <x:v>Bucky Irving</x:v>
      </x:c>
      <x:c r="C50" s="12" t="str">
        <x:f>'Weekly Projections'!B52</x:f>
        <x:v>TB</x:v>
      </x:c>
      <x:c r="D50" s="12" t="str">
        <x:f>'Weekly Projections'!C52</x:f>
        <x:v>RB</x:v>
      </x:c>
      <x:c r="E50" s="12" t="n">
        <x:f>'Weekly Projections'!BA52</x:f>
        <x:v>2</x:v>
      </x:c>
      <x:c r="F50" s="17" t="n">
        <x:f>'Weekly Projections'!AW52</x:f>
        <x:v>11.99893117408907</x:v>
      </x:c>
    </x:row>
    <x:row r="51">
      <x:c r="A51" s="12" t="n">
        <x:f>'Weekly Projections'!BB53</x:f>
        <x:v>17</x:v>
      </x:c>
      <x:c r="B51" s="12" t="str">
        <x:f>'Weekly Projections'!A53</x:f>
        <x:v>David Montgomery</x:v>
      </x:c>
      <x:c r="C51" s="12" t="str">
        <x:f>'Weekly Projections'!B53</x:f>
        <x:v>HOU</x:v>
      </x:c>
      <x:c r="D51" s="12" t="str">
        <x:f>'Weekly Projections'!C53</x:f>
        <x:v>RB</x:v>
      </x:c>
      <x:c r="E51" s="12" t="n">
        <x:f>'Weekly Projections'!BA53</x:f>
        <x:v>2</x:v>
      </x:c>
      <x:c r="F51" s="17" t="n">
        <x:f>'Weekly Projections'!AW53</x:f>
        <x:v>11.992226720647775</x:v>
      </x:c>
    </x:row>
    <x:row r="52">
      <x:c r="A52" s="12" t="n">
        <x:f>'Weekly Projections'!BB54</x:f>
        <x:v>18</x:v>
      </x:c>
      <x:c r="B52" s="12" t="str">
        <x:f>'Weekly Projections'!A54</x:f>
        <x:v>Jeremiyah Love</x:v>
      </x:c>
      <x:c r="C52" s="12" t="str">
        <x:f>'Weekly Projections'!B54</x:f>
        <x:v>ARI</x:v>
      </x:c>
      <x:c r="D52" s="12" t="str">
        <x:f>'Weekly Projections'!C54</x:f>
        <x:v>RB</x:v>
      </x:c>
      <x:c r="E52" s="12" t="n">
        <x:f>'Weekly Projections'!BA54</x:f>
        <x:v>2</x:v>
      </x:c>
      <x:c r="F52" s="17" t="n">
        <x:f>'Weekly Projections'!AW54</x:f>
        <x:v>11.45336032388664</x:v>
      </x:c>
    </x:row>
    <x:row r="53">
      <x:c r="A53" s="12" t="n">
        <x:f>'Weekly Projections'!BB55</x:f>
        <x:v>19</x:v>
      </x:c>
      <x:c r="B53" s="12" t="str">
        <x:f>'Weekly Projections'!A55</x:f>
        <x:v>D'Andre Swift</x:v>
      </x:c>
      <x:c r="C53" s="12" t="str">
        <x:f>'Weekly Projections'!B55</x:f>
        <x:v>CHI</x:v>
      </x:c>
      <x:c r="D53" s="12" t="str">
        <x:f>'Weekly Projections'!C55</x:f>
        <x:v>RB</x:v>
      </x:c>
      <x:c r="E53" s="12" t="n">
        <x:f>'Weekly Projections'!BA55</x:f>
        <x:v>2</x:v>
      </x:c>
      <x:c r="F53" s="17" t="n">
        <x:f>'Weekly Projections'!AW55</x:f>
        <x:v>11.151595141700406</x:v>
      </x:c>
    </x:row>
    <x:row r="54">
      <x:c r="A54" s="12" t="n">
        <x:f>'Weekly Projections'!BB56</x:f>
        <x:v>20</x:v>
      </x:c>
      <x:c r="B54" s="12" t="str">
        <x:f>'Weekly Projections'!A56</x:f>
        <x:v>Quinshon Judkins</x:v>
      </x:c>
      <x:c r="C54" s="12" t="str">
        <x:f>'Weekly Projections'!B56</x:f>
        <x:v>CLE</x:v>
      </x:c>
      <x:c r="D54" s="12" t="str">
        <x:f>'Weekly Projections'!C56</x:f>
        <x:v>RB</x:v>
      </x:c>
      <x:c r="E54" s="12" t="n">
        <x:f>'Weekly Projections'!BA56</x:f>
        <x:v>2</x:v>
      </x:c>
      <x:c r="F54" s="17" t="n">
        <x:f>'Weekly Projections'!AW56</x:f>
        <x:v>11.061200809716599</x:v>
      </x:c>
    </x:row>
    <x:row r="55">
      <x:c r="A55" s="12" t="n">
        <x:f>'Weekly Projections'!BB57</x:f>
        <x:v>21</x:v>
      </x:c>
      <x:c r="B55" s="12" t="str">
        <x:f>'Weekly Projections'!A57</x:f>
        <x:v>TreVeyon Henderson</x:v>
      </x:c>
      <x:c r="C55" s="12" t="str">
        <x:f>'Weekly Projections'!B57</x:f>
        <x:v>NE</x:v>
      </x:c>
      <x:c r="D55" s="12" t="str">
        <x:f>'Weekly Projections'!C57</x:f>
        <x:v>RB</x:v>
      </x:c>
      <x:c r="E55" s="12" t="n">
        <x:f>'Weekly Projections'!BA57</x:f>
        <x:v>3</x:v>
      </x:c>
      <x:c r="F55" s="17" t="n">
        <x:f>'Weekly Projections'!AW57</x:f>
        <x:v>10.696187854251013</x:v>
      </x:c>
    </x:row>
    <x:row r="56">
      <x:c r="A56" s="12" t="n">
        <x:f>'Weekly Projections'!BB58</x:f>
        <x:v>22</x:v>
      </x:c>
      <x:c r="B56" s="12" t="str">
        <x:f>'Weekly Projections'!A58</x:f>
        <x:v>Aaron Jones Sr.</x:v>
      </x:c>
      <x:c r="C56" s="12" t="str">
        <x:f>'Weekly Projections'!B58</x:f>
        <x:v>MIN</x:v>
      </x:c>
      <x:c r="D56" s="12" t="str">
        <x:f>'Weekly Projections'!C58</x:f>
        <x:v>RB</x:v>
      </x:c>
      <x:c r="E56" s="12" t="n">
        <x:f>'Weekly Projections'!BA58</x:f>
        <x:v>3</x:v>
      </x:c>
      <x:c r="F56" s="17" t="n">
        <x:f>'Weekly Projections'!AW58</x:f>
        <x:v>10.604696356275303</x:v>
      </x:c>
    </x:row>
    <x:row r="57">
      <x:c r="A57" s="12" t="n">
        <x:f>'Weekly Projections'!BB59</x:f>
        <x:v>23</x:v>
      </x:c>
      <x:c r="B57" s="12" t="str">
        <x:f>'Weekly Projections'!A59</x:f>
        <x:v>Jaylen Warren</x:v>
      </x:c>
      <x:c r="C57" s="12" t="str">
        <x:f>'Weekly Projections'!B59</x:f>
        <x:v>PIT</x:v>
      </x:c>
      <x:c r="D57" s="12" t="str">
        <x:f>'Weekly Projections'!C59</x:f>
        <x:v>RB</x:v>
      </x:c>
      <x:c r="E57" s="12" t="n">
        <x:f>'Weekly Projections'!BA59</x:f>
        <x:v>3</x:v>
      </x:c>
      <x:c r="F57" s="17" t="n">
        <x:f>'Weekly Projections'!AW59</x:f>
        <x:v>9.955734412955469</x:v>
      </x:c>
    </x:row>
    <x:row r="58">
      <x:c r="A58" s="12" t="n">
        <x:f>'Weekly Projections'!BB60</x:f>
        <x:v>24</x:v>
      </x:c>
      <x:c r="B58" s="12" t="str">
        <x:f>'Weekly Projections'!A60</x:f>
        <x:v>Bhayshul Tuten</x:v>
      </x:c>
      <x:c r="C58" s="12" t="str">
        <x:f>'Weekly Projections'!B60</x:f>
        <x:v>JAC</x:v>
      </x:c>
      <x:c r="D58" s="12" t="str">
        <x:f>'Weekly Projections'!C60</x:f>
        <x:v>RB</x:v>
      </x:c>
      <x:c r="E58" s="12" t="n">
        <x:f>'Weekly Projections'!BA60</x:f>
        <x:v>3</x:v>
      </x:c>
      <x:c r="F58" s="17" t="n">
        <x:f>'Weekly Projections'!AW60</x:f>
        <x:v>9.700000000000001</x:v>
      </x:c>
    </x:row>
    <x:row r="59">
      <x:c r="A59" s="12" t="n">
        <x:f>'Weekly Projections'!BB61</x:f>
        <x:v>25</x:v>
      </x:c>
      <x:c r="B59" s="12" t="str">
        <x:f>'Weekly Projections'!A61</x:f>
        <x:v>Cam Skattebo</x:v>
      </x:c>
      <x:c r="C59" s="12" t="str">
        <x:f>'Weekly Projections'!B61</x:f>
        <x:v>NYG</x:v>
      </x:c>
      <x:c r="D59" s="12" t="str">
        <x:f>'Weekly Projections'!C61</x:f>
        <x:v>RB</x:v>
      </x:c>
      <x:c r="E59" s="12" t="n">
        <x:f>'Weekly Projections'!BA61</x:f>
        <x:v>3</x:v>
      </x:c>
      <x:c r="F59" s="17" t="n">
        <x:f>'Weekly Projections'!AW61</x:f>
        <x:v>9.32400408097166</x:v>
      </x:c>
    </x:row>
    <x:row r="60">
      <x:c r="A60" s="12" t="n">
        <x:f>'Weekly Projections'!BB62</x:f>
        <x:v>26</x:v>
      </x:c>
      <x:c r="B60" s="12" t="str">
        <x:f>'Weekly Projections'!A62</x:f>
        <x:v>Travis Etienne Jr.</x:v>
      </x:c>
      <x:c r="C60" s="12" t="str">
        <x:f>'Weekly Projections'!B62</x:f>
        <x:v>NO</x:v>
      </x:c>
      <x:c r="D60" s="12" t="str">
        <x:f>'Weekly Projections'!C62</x:f>
        <x:v>RB</x:v>
      </x:c>
      <x:c r="E60" s="12" t="n">
        <x:f>'Weekly Projections'!BA62</x:f>
        <x:v>3</x:v>
      </x:c>
      <x:c r="F60" s="17" t="n">
        <x:f>'Weekly Projections'!AW62</x:f>
        <x:v>9.316275303643726</x:v>
      </x:c>
    </x:row>
    <x:row r="61">
      <x:c r="A61" s="12" t="n">
        <x:f>'Weekly Projections'!BB63</x:f>
        <x:v>27</x:v>
      </x:c>
      <x:c r="B61" s="12" t="str">
        <x:f>'Weekly Projections'!A63</x:f>
        <x:v>Jadarian Price</x:v>
      </x:c>
      <x:c r="C61" s="12" t="str">
        <x:f>'Weekly Projections'!B63</x:f>
        <x:v>SEA</x:v>
      </x:c>
      <x:c r="D61" s="12" t="str">
        <x:f>'Weekly Projections'!C63</x:f>
        <x:v>RB</x:v>
      </x:c>
      <x:c r="E61" s="12" t="n">
        <x:f>'Weekly Projections'!BA63</x:f>
        <x:v>3</x:v>
      </x:c>
      <x:c r="F61" s="17" t="n">
        <x:f>'Weekly Projections'!AW63</x:f>
        <x:v>9</x:v>
      </x:c>
    </x:row>
    <x:row r="62">
      <x:c r="A62" s="12" t="n">
        <x:f>'Weekly Projections'!BB64</x:f>
        <x:v>28</x:v>
      </x:c>
      <x:c r="B62" s="12" t="str">
        <x:f>'Weekly Projections'!A64</x:f>
        <x:v>Jacory Croskey-Merritt</x:v>
      </x:c>
      <x:c r="C62" s="12" t="str">
        <x:f>'Weekly Projections'!B64</x:f>
        <x:v>WAS</x:v>
      </x:c>
      <x:c r="D62" s="12" t="str">
        <x:f>'Weekly Projections'!C64</x:f>
        <x:v>RB</x:v>
      </x:c>
      <x:c r="E62" s="12" t="n">
        <x:f>'Weekly Projections'!BA64</x:f>
        <x:v>3</x:v>
      </x:c>
      <x:c r="F62" s="17" t="n">
        <x:f>'Weekly Projections'!AW64</x:f>
        <x:v>8.681757085020244</x:v>
      </x:c>
    </x:row>
    <x:row r="63">
      <x:c r="A63" s="12" t="n">
        <x:f>'Weekly Projections'!BB65</x:f>
        <x:v>29</x:v>
      </x:c>
      <x:c r="B63" s="12" t="str">
        <x:f>'Weekly Projections'!A65</x:f>
        <x:v>Rico Dowdle</x:v>
      </x:c>
      <x:c r="C63" s="12" t="str">
        <x:f>'Weekly Projections'!B65</x:f>
        <x:v>PIT</x:v>
      </x:c>
      <x:c r="D63" s="12" t="str">
        <x:f>'Weekly Projections'!C65</x:f>
        <x:v>RB</x:v>
      </x:c>
      <x:c r="E63" s="12" t="n">
        <x:f>'Weekly Projections'!BA65</x:f>
        <x:v>3</x:v>
      </x:c>
      <x:c r="F63" s="17" t="n">
        <x:f>'Weekly Projections'!AW65</x:f>
        <x:v>8.62146072874494</x:v>
      </x:c>
    </x:row>
    <x:row r="64">
      <x:c r="A64" s="12" t="n">
        <x:f>'Weekly Projections'!BB66</x:f>
        <x:v>30</x:v>
      </x:c>
      <x:c r="B64" s="12" t="str">
        <x:f>'Weekly Projections'!A66</x:f>
        <x:v>Tony Pollard</x:v>
      </x:c>
      <x:c r="C64" s="12" t="str">
        <x:f>'Weekly Projections'!B66</x:f>
        <x:v>TEN</x:v>
      </x:c>
      <x:c r="D64" s="12" t="str">
        <x:f>'Weekly Projections'!C66</x:f>
        <x:v>RB</x:v>
      </x:c>
      <x:c r="E64" s="12" t="n">
        <x:f>'Weekly Projections'!BA66</x:f>
        <x:v>3</x:v>
      </x:c>
      <x:c r="F64" s="17" t="n">
        <x:f>'Weekly Projections'!AW66</x:f>
        <x:v>8.415206477732795</x:v>
      </x:c>
    </x:row>
    <x:row r="65">
      <x:c r="A65" s="12" t="n">
        <x:f>'Weekly Projections'!BB67</x:f>
        <x:v>31</x:v>
      </x:c>
      <x:c r="B65" s="12" t="str">
        <x:f>'Weekly Projections'!A67</x:f>
        <x:v>Rhamondre Stevenson</x:v>
      </x:c>
      <x:c r="C65" s="12" t="str">
        <x:f>'Weekly Projections'!B67</x:f>
        <x:v>NE</x:v>
      </x:c>
      <x:c r="D65" s="12" t="str">
        <x:f>'Weekly Projections'!C67</x:f>
        <x:v>RB</x:v>
      </x:c>
      <x:c r="E65" s="12" t="n">
        <x:f>'Weekly Projections'!BA67</x:f>
        <x:v>4</x:v>
      </x:c>
      <x:c r="F65" s="17" t="n">
        <x:f>'Weekly Projections'!AW67</x:f>
        <x:v>7.997149797570851</x:v>
      </x:c>
    </x:row>
    <x:row r="66">
      <x:c r="A66" s="12" t="n">
        <x:f>'Weekly Projections'!BB68</x:f>
        <x:v>32</x:v>
      </x:c>
      <x:c r="B66" s="12" t="str">
        <x:f>'Weekly Projections'!A68</x:f>
        <x:v>Chuba Hubbard</x:v>
      </x:c>
      <x:c r="C66" s="12" t="str">
        <x:f>'Weekly Projections'!B68</x:f>
        <x:v>CAR</x:v>
      </x:c>
      <x:c r="D66" s="12" t="str">
        <x:f>'Weekly Projections'!C68</x:f>
        <x:v>RB</x:v>
      </x:c>
      <x:c r="E66" s="12" t="n">
        <x:f>'Weekly Projections'!BA68</x:f>
        <x:v>4</x:v>
      </x:c>
      <x:c r="F66" s="17" t="n">
        <x:f>'Weekly Projections'!AW68</x:f>
        <x:v>7.814302834008098</x:v>
      </x:c>
    </x:row>
    <x:row r="67">
      <x:c r="A67" s="12" t="n">
        <x:f>'Weekly Projections'!BB69</x:f>
        <x:v>33</x:v>
      </x:c>
      <x:c r="B67" s="12" t="str">
        <x:f>'Weekly Projections'!A69</x:f>
        <x:v>Kyle Monangai</x:v>
      </x:c>
      <x:c r="C67" s="12" t="str">
        <x:f>'Weekly Projections'!B69</x:f>
        <x:v>CHI</x:v>
      </x:c>
      <x:c r="D67" s="12" t="str">
        <x:f>'Weekly Projections'!C69</x:f>
        <x:v>RB</x:v>
      </x:c>
      <x:c r="E67" s="12" t="n">
        <x:f>'Weekly Projections'!BA69</x:f>
        <x:v>4</x:v>
      </x:c>
      <x:c r="F67" s="17" t="n">
        <x:f>'Weekly Projections'!AW69</x:f>
        <x:v>7.741603238866397</x:v>
      </x:c>
    </x:row>
    <x:row r="68">
      <x:c r="A68" s="12" t="n">
        <x:f>'Weekly Projections'!BB70</x:f>
        <x:v>34</x:v>
      </x:c>
      <x:c r="B68" s="12" t="str">
        <x:f>'Weekly Projections'!A70</x:f>
        <x:v>Kenny Gainwell</x:v>
      </x:c>
      <x:c r="C68" s="12" t="str">
        <x:f>'Weekly Projections'!B70</x:f>
        <x:v>TB</x:v>
      </x:c>
      <x:c r="D68" s="12" t="str">
        <x:f>'Weekly Projections'!C70</x:f>
        <x:v>RB</x:v>
      </x:c>
      <x:c r="E68" s="12" t="n">
        <x:f>'Weekly Projections'!BA70</x:f>
        <x:v>4</x:v>
      </x:c>
      <x:c r="F68" s="17" t="n">
        <x:f>'Weekly Projections'!AW70</x:f>
        <x:v>7.699314170040487</x:v>
      </x:c>
    </x:row>
    <x:row r="69">
      <x:c r="A69" s="12" t="n">
        <x:f>'Weekly Projections'!BB72</x:f>
        <x:v>35</x:v>
      </x:c>
      <x:c r="B69" s="12" t="str">
        <x:f>'Weekly Projections'!A72</x:f>
        <x:v>Mike Washington Jr.</x:v>
      </x:c>
      <x:c r="C69" s="12" t="str">
        <x:f>'Weekly Projections'!B72</x:f>
        <x:v>LV</x:v>
      </x:c>
      <x:c r="D69" s="12" t="str">
        <x:f>'Weekly Projections'!C72</x:f>
        <x:v>RB</x:v>
      </x:c>
      <x:c r="E69" s="12" t="n">
        <x:f>'Weekly Projections'!BA72</x:f>
        <x:v>4</x:v>
      </x:c>
      <x:c r="F69" s="17" t="n">
        <x:f>'Weekly Projections'!AW72</x:f>
        <x:v>7.26028178137652</x:v>
      </x:c>
    </x:row>
    <x:row r="70">
      <x:c r="A70" s="12" t="n">
        <x:f>'Weekly Projections'!BB74</x:f>
        <x:v>36</x:v>
      </x:c>
      <x:c r="B70" s="12" t="str">
        <x:f>'Weekly Projections'!A74</x:f>
        <x:v>RJ Harvey</x:v>
      </x:c>
      <x:c r="C70" s="12" t="str">
        <x:f>'Weekly Projections'!B74</x:f>
        <x:v>DEN</x:v>
      </x:c>
      <x:c r="D70" s="12" t="str">
        <x:f>'Weekly Projections'!C74</x:f>
        <x:v>RB</x:v>
      </x:c>
      <x:c r="E70" s="12" t="n">
        <x:f>'Weekly Projections'!BA74</x:f>
        <x:v>4</x:v>
      </x:c>
      <x:c r="F70" s="17" t="n">
        <x:f>'Weekly Projections'!AW74</x:f>
        <x:v>7.010206747638328</x:v>
      </x:c>
    </x:row>
    <x:row r="71">
      <x:c r="A71" s="12" t="n">
        <x:f>'Weekly Projections'!BB75</x:f>
        <x:v>37</x:v>
      </x:c>
      <x:c r="B71" s="12" t="str">
        <x:f>'Weekly Projections'!A75</x:f>
        <x:v>J.K. Dobbins</x:v>
      </x:c>
      <x:c r="C71" s="12" t="str">
        <x:f>'Weekly Projections'!B75</x:f>
        <x:v>DEN</x:v>
      </x:c>
      <x:c r="D71" s="12" t="str">
        <x:f>'Weekly Projections'!C75</x:f>
        <x:v>RB</x:v>
      </x:c>
      <x:c r="E71" s="12" t="n">
        <x:f>'Weekly Projections'!BA75</x:f>
        <x:v>4</x:v>
      </x:c>
      <x:c r="F71" s="17" t="n">
        <x:f>'Weekly Projections'!AW75</x:f>
        <x:v>7.00761133603239</x:v>
      </x:c>
    </x:row>
    <x:row r="72">
      <x:c r="A72" s="12" t="n">
        <x:f>'Weekly Projections'!BB76</x:f>
        <x:v>38</x:v>
      </x:c>
      <x:c r="B72" s="12" t="str">
        <x:f>'Weekly Projections'!A76</x:f>
        <x:v>Chris Rodriguez Jr.</x:v>
      </x:c>
      <x:c r="C72" s="12" t="str">
        <x:f>'Weekly Projections'!B76</x:f>
        <x:v>JAC</x:v>
      </x:c>
      <x:c r="D72" s="12" t="str">
        <x:f>'Weekly Projections'!C76</x:f>
        <x:v>RB</x:v>
      </x:c>
      <x:c r="E72" s="12" t="n">
        <x:f>'Weekly Projections'!BA76</x:f>
        <x:v>4</x:v>
      </x:c>
      <x:c r="F72" s="17" t="n">
        <x:f>'Weekly Projections'!AW76</x:f>
        <x:v>6.5</x:v>
      </x:c>
    </x:row>
    <x:row r="73">
      <x:c r="A73" s="12" t="n">
        <x:f>'Weekly Projections'!BB77</x:f>
        <x:v>39</x:v>
      </x:c>
      <x:c r="B73" s="12" t="str">
        <x:f>'Weekly Projections'!A77</x:f>
        <x:v>Emmett Johnson</x:v>
      </x:c>
      <x:c r="C73" s="12" t="str">
        <x:f>'Weekly Projections'!B77</x:f>
        <x:v>KC</x:v>
      </x:c>
      <x:c r="D73" s="12" t="str">
        <x:f>'Weekly Projections'!C77</x:f>
        <x:v>RB</x:v>
      </x:c>
      <x:c r="E73" s="12" t="n">
        <x:f>'Weekly Projections'!BA77</x:f>
        <x:v>5</x:v>
      </x:c>
      <x:c r="F73" s="17" t="n">
        <x:f>'Weekly Projections'!AW77</x:f>
        <x:v>6.486843724696357</x:v>
      </x:c>
    </x:row>
    <x:row r="74">
      <x:c r="A74" s="12" t="n">
        <x:f>'Weekly Projections'!BB78</x:f>
        <x:v>40</x:v>
      </x:c>
      <x:c r="B74" s="12" t="str">
        <x:f>'Weekly Projections'!A78</x:f>
        <x:v>Tyrone Tracy Jr.</x:v>
      </x:c>
      <x:c r="C74" s="12" t="str">
        <x:f>'Weekly Projections'!B78</x:f>
        <x:v>NYG</x:v>
      </x:c>
      <x:c r="D74" s="12" t="str">
        <x:f>'Weekly Projections'!C78</x:f>
        <x:v>RB</x:v>
      </x:c>
      <x:c r="E74" s="12" t="n">
        <x:f>'Weekly Projections'!BA78</x:f>
        <x:v>5</x:v>
      </x:c>
      <x:c r="F74" s="17" t="n">
        <x:f>'Weekly Projections'!AW78</x:f>
        <x:v>6.1842884210526305</x:v>
      </x:c>
    </x:row>
    <x:row r="75">
      <x:c r="A75" s="12" t="n">
        <x:f>'Weekly Projections'!BB79</x:f>
        <x:v>41</x:v>
      </x:c>
      <x:c r="B75" s="12" t="str">
        <x:f>'Weekly Projections'!A79</x:f>
        <x:v>Tank Bigsby</x:v>
      </x:c>
      <x:c r="C75" s="12" t="str">
        <x:f>'Weekly Projections'!B79</x:f>
        <x:v>PHI</x:v>
      </x:c>
      <x:c r="D75" s="12" t="str">
        <x:f>'Weekly Projections'!C79</x:f>
        <x:v>RB</x:v>
      </x:c>
      <x:c r="E75" s="12" t="n">
        <x:f>'Weekly Projections'!BA79</x:f>
        <x:v>5</x:v>
      </x:c>
      <x:c r="F75" s="17" t="n">
        <x:f>'Weekly Projections'!AW79</x:f>
        <x:v>6.1659060728744945</x:v>
      </x:c>
    </x:row>
    <x:row r="76">
      <x:c r="A76" s="12" t="n">
        <x:f>'Weekly Projections'!BB80</x:f>
        <x:v>42</x:v>
      </x:c>
      <x:c r="B76" s="12" t="str">
        <x:f>'Weekly Projections'!A80</x:f>
        <x:v>Woody Marks</x:v>
      </x:c>
      <x:c r="C76" s="12" t="str">
        <x:f>'Weekly Projections'!B80</x:f>
        <x:v>HOU</x:v>
      </x:c>
      <x:c r="D76" s="12" t="str">
        <x:f>'Weekly Projections'!C80</x:f>
        <x:v>RB</x:v>
      </x:c>
      <x:c r="E76" s="12" t="n">
        <x:f>'Weekly Projections'!BA80</x:f>
        <x:v>5</x:v>
      </x:c>
      <x:c r="F76" s="17" t="n">
        <x:f>'Weekly Projections'!AW80</x:f>
        <x:v>6.144777327935223</x:v>
      </x:c>
    </x:row>
    <x:row r="77">
      <x:c r="A77" s="12" t="n">
        <x:f>'Weekly Projections'!BB81</x:f>
        <x:v>43</x:v>
      </x:c>
      <x:c r="B77" s="12" t="str">
        <x:f>'Weekly Projections'!A81</x:f>
        <x:v>Kaelon Black</x:v>
      </x:c>
      <x:c r="C77" s="12" t="str">
        <x:f>'Weekly Projections'!B81</x:f>
        <x:v>SF</x:v>
      </x:c>
      <x:c r="D77" s="12" t="str">
        <x:f>'Weekly Projections'!C81</x:f>
        <x:v>RB</x:v>
      </x:c>
      <x:c r="E77" s="12" t="n">
        <x:f>'Weekly Projections'!BA81</x:f>
        <x:v>5</x:v>
      </x:c>
      <x:c r="F77" s="17" t="n">
        <x:f>'Weekly Projections'!AW81</x:f>
        <x:v>6.106882591093118</x:v>
      </x:c>
    </x:row>
    <x:row r="78">
      <x:c r="A78" s="12" t="n">
        <x:f>'Weekly Projections'!BB82</x:f>
        <x:v>44</x:v>
      </x:c>
      <x:c r="B78" s="12" t="str">
        <x:f>'Weekly Projections'!A82</x:f>
        <x:v>Tyjae Spears</x:v>
      </x:c>
      <x:c r="C78" s="12" t="str">
        <x:f>'Weekly Projections'!B82</x:f>
        <x:v>TEN</x:v>
      </x:c>
      <x:c r="D78" s="12" t="str">
        <x:f>'Weekly Projections'!C82</x:f>
        <x:v>RB</x:v>
      </x:c>
      <x:c r="E78" s="12" t="n">
        <x:f>'Weekly Projections'!BA82</x:f>
        <x:v>5</x:v>
      </x:c>
      <x:c r="F78" s="17" t="n">
        <x:f>'Weekly Projections'!AW82</x:f>
        <x:v>6.039148178137653</x:v>
      </x:c>
    </x:row>
    <x:row r="79">
      <x:c r="A79" s="12" t="n">
        <x:f>'Weekly Projections'!BB83</x:f>
        <x:v>45</x:v>
      </x:c>
      <x:c r="B79" s="12" t="str">
        <x:f>'Weekly Projections'!A83</x:f>
        <x:v>Jonah Coleman</x:v>
      </x:c>
      <x:c r="C79" s="12" t="str">
        <x:f>'Weekly Projections'!B83</x:f>
        <x:v>DEN</x:v>
      </x:c>
      <x:c r="D79" s="12" t="str">
        <x:f>'Weekly Projections'!C83</x:f>
        <x:v>RB</x:v>
      </x:c>
      <x:c r="E79" s="12" t="n">
        <x:f>'Weekly Projections'!BA83</x:f>
        <x:v>5</x:v>
      </x:c>
      <x:c r="F79" s="17" t="n">
        <x:f>'Weekly Projections'!AW83</x:f>
        <x:v>6.03433198380567</x:v>
      </x:c>
    </x:row>
    <x:row r="80">
      <x:c r="A80" s="12" t="n">
        <x:f>'Weekly Projections'!BB85</x:f>
        <x:v>46</x:v>
      </x:c>
      <x:c r="B80" s="12" t="str">
        <x:f>'Weekly Projections'!A85</x:f>
        <x:v>Rachaad White</x:v>
      </x:c>
      <x:c r="C80" s="12" t="str">
        <x:f>'Weekly Projections'!B85</x:f>
        <x:v>WAS</x:v>
      </x:c>
      <x:c r="D80" s="12" t="str">
        <x:f>'Weekly Projections'!C85</x:f>
        <x:v>RB</x:v>
      </x:c>
      <x:c r="E80" s="12" t="n">
        <x:f>'Weekly Projections'!BA85</x:f>
        <x:v>5</x:v>
      </x:c>
      <x:c r="F80" s="17" t="n">
        <x:f>'Weekly Projections'!AW85</x:f>
        <x:v>5.8843020242914985</x:v>
      </x:c>
    </x:row>
    <x:row r="81">
      <x:c r="A81" s="12" t="n">
        <x:f>'Weekly Projections'!BB99</x:f>
        <x:v>47</x:v>
      </x:c>
      <x:c r="B81" s="12" t="str">
        <x:f>'Weekly Projections'!A99</x:f>
        <x:v>Kaleb Johnson</x:v>
      </x:c>
      <x:c r="C81" s="12" t="str">
        <x:f>'Weekly Projections'!B99</x:f>
        <x:v>GB</x:v>
      </x:c>
      <x:c r="D81" s="12" t="str">
        <x:f>'Weekly Projections'!C99</x:f>
        <x:v>RB</x:v>
      </x:c>
      <x:c r="E81" s="12" t="n">
        <x:f>'Weekly Projections'!BA99</x:f>
        <x:v>7</x:v>
      </x:c>
      <x:c r="F81" s="17" t="n">
        <x:f>'Weekly Projections'!AW99</x:f>
        <x:v>5.82</x:v>
      </x:c>
    </x:row>
    <x:row r="82">
      <x:c r="A82" s="12" t="n">
        <x:f>'Weekly Projections'!BB86</x:f>
        <x:v>48</x:v>
      </x:c>
      <x:c r="B82" s="12" t="str">
        <x:f>'Weekly Projections'!A86</x:f>
        <x:v>Blake Corum</x:v>
      </x:c>
      <x:c r="C82" s="12" t="str">
        <x:f>'Weekly Projections'!B86</x:f>
        <x:v>LAR</x:v>
      </x:c>
      <x:c r="D82" s="12" t="str">
        <x:f>'Weekly Projections'!C86</x:f>
        <x:v>RB</x:v>
      </x:c>
      <x:c r="E82" s="12" t="n">
        <x:f>'Weekly Projections'!BA86</x:f>
        <x:v>5</x:v>
      </x:c>
      <x:c r="F82" s="17" t="n">
        <x:f>'Weekly Projections'!AW86</x:f>
        <x:v>5.67876194331984</x:v>
      </x:c>
    </x:row>
    <x:row r="83">
      <x:c r="A83" s="12" t="n">
        <x:f>'Weekly Projections'!BB87</x:f>
        <x:v>49</x:v>
      </x:c>
      <x:c r="B83" s="12" t="str">
        <x:f>'Weekly Projections'!A87</x:f>
        <x:v>Tyler Allgeier</x:v>
      </x:c>
      <x:c r="C83" s="12" t="str">
        <x:f>'Weekly Projections'!B87</x:f>
        <x:v>ARI</x:v>
      </x:c>
      <x:c r="D83" s="12" t="str">
        <x:f>'Weekly Projections'!C87</x:f>
        <x:v>RB</x:v>
      </x:c>
      <x:c r="E83" s="12" t="n">
        <x:f>'Weekly Projections'!BA87</x:f>
        <x:v>6</x:v>
      </x:c>
      <x:c r="F83" s="17" t="n">
        <x:f>'Weekly Projections'!AW87</x:f>
        <x:v>5.5846963562753045</x:v>
      </x:c>
    </x:row>
    <x:row r="84">
      <x:c r="A84" s="12" t="n">
        <x:f>'Weekly Projections'!BB88</x:f>
        <x:v>50</x:v>
      </x:c>
      <x:c r="B84" s="12" t="str">
        <x:f>'Weekly Projections'!A88</x:f>
        <x:v>Nicholas Singleton</x:v>
      </x:c>
      <x:c r="C84" s="12" t="str">
        <x:f>'Weekly Projections'!B88</x:f>
        <x:v>TEN</x:v>
      </x:c>
      <x:c r="D84" s="12" t="str">
        <x:f>'Weekly Projections'!C88</x:f>
        <x:v>RB</x:v>
      </x:c>
      <x:c r="E84" s="12" t="n">
        <x:f>'Weekly Projections'!BA88</x:f>
        <x:v>6</x:v>
      </x:c>
      <x:c r="F84" s="17" t="n">
        <x:f>'Weekly Projections'!AW88</x:f>
        <x:v>5.445133603238866</x:v>
      </x:c>
    </x:row>
    <x:row r="85">
      <x:c r="A85" s="12" t="n">
        <x:f>'Weekly Projections'!BB89</x:f>
        <x:v>51</x:v>
      </x:c>
      <x:c r="B85" s="12" t="str">
        <x:f>'Weekly Projections'!A89</x:f>
        <x:v>Ray Davis</x:v>
      </x:c>
      <x:c r="C85" s="12" t="str">
        <x:f>'Weekly Projections'!B89</x:f>
        <x:v>BUF</x:v>
      </x:c>
      <x:c r="D85" s="12" t="str">
        <x:f>'Weekly Projections'!C89</x:f>
        <x:v>RB</x:v>
      </x:c>
      <x:c r="E85" s="12" t="n">
        <x:f>'Weekly Projections'!BA89</x:f>
        <x:v>6</x:v>
      </x:c>
      <x:c r="F85" s="17" t="n">
        <x:f>'Weekly Projections'!AW89</x:f>
        <x:v>5.2817004048583</x:v>
      </x:c>
    </x:row>
    <x:row r="86">
      <x:c r="A86" s="12" t="n">
        <x:f>'Weekly Projections'!BB71</x:f>
        <x:v>52</x:v>
      </x:c>
      <x:c r="B86" s="12" t="str">
        <x:f>'Weekly Projections'!A71</x:f>
        <x:v>MarShawn Lloyd</x:v>
      </x:c>
      <x:c r="C86" s="12" t="str">
        <x:f>'Weekly Projections'!B71</x:f>
        <x:v>GB</x:v>
      </x:c>
      <x:c r="D86" s="12" t="str">
        <x:f>'Weekly Projections'!C71</x:f>
        <x:v>RB</x:v>
      </x:c>
      <x:c r="E86" s="12" t="n">
        <x:f>'Weekly Projections'!BA71</x:f>
        <x:v>4</x:v>
      </x:c>
      <x:c r="F86" s="17" t="n">
        <x:f>'Weekly Projections'!AW71</x:f>
        <x:v>5.1</x:v>
      </x:c>
    </x:row>
    <x:row r="87">
      <x:c r="A87" s="12" t="n">
        <x:f>'Weekly Projections'!BB90</x:f>
        <x:v>53</x:v>
      </x:c>
      <x:c r="B87" s="12" t="str">
        <x:f>'Weekly Projections'!A90</x:f>
        <x:v>Brian Robinson Jr.</x:v>
      </x:c>
      <x:c r="C87" s="12" t="str">
        <x:f>'Weekly Projections'!B90</x:f>
        <x:v>ATL</x:v>
      </x:c>
      <x:c r="D87" s="12" t="str">
        <x:f>'Weekly Projections'!C90</x:f>
        <x:v>RB</x:v>
      </x:c>
      <x:c r="E87" s="12" t="n">
        <x:f>'Weekly Projections'!BA90</x:f>
        <x:v>6</x:v>
      </x:c>
      <x:c r="F87" s="17" t="n">
        <x:f>'Weekly Projections'!AW90</x:f>
        <x:v>4.926273684210526</x:v>
      </x:c>
    </x:row>
    <x:row r="88">
      <x:c r="A88" s="12" t="n">
        <x:f>'Weekly Projections'!BB91</x:f>
        <x:v>54</x:v>
      </x:c>
      <x:c r="B88" s="12" t="str">
        <x:f>'Weekly Projections'!A91</x:f>
        <x:v>Kaytron Allen</x:v>
      </x:c>
      <x:c r="C88" s="12" t="str">
        <x:f>'Weekly Projections'!B91</x:f>
        <x:v>WAS</x:v>
      </x:c>
      <x:c r="D88" s="12" t="str">
        <x:f>'Weekly Projections'!C91</x:f>
        <x:v>RB</x:v>
      </x:c>
      <x:c r="E88" s="12" t="n">
        <x:f>'Weekly Projections'!BA91</x:f>
        <x:v>6</x:v>
      </x:c>
      <x:c r="F88" s="17" t="n">
        <x:f>'Weekly Projections'!AW91</x:f>
        <x:v>4.919662348178137</x:v>
      </x:c>
    </x:row>
    <x:row r="89">
      <x:c r="A89" s="12" t="n">
        <x:f>'Weekly Projections'!BB92</x:f>
        <x:v>55</x:v>
      </x:c>
      <x:c r="B89" s="12" t="str">
        <x:f>'Weekly Projections'!A92</x:f>
        <x:v>Alvin Kamara</x:v>
      </x:c>
      <x:c r="C89" s="12" t="str">
        <x:f>'Weekly Projections'!B92</x:f>
        <x:v>NO</x:v>
      </x:c>
      <x:c r="D89" s="12" t="str">
        <x:f>'Weekly Projections'!C92</x:f>
        <x:v>RB</x:v>
      </x:c>
      <x:c r="E89" s="12" t="n">
        <x:f>'Weekly Projections'!BA92</x:f>
        <x:v>6</x:v>
      </x:c>
      <x:c r="F89" s="17" t="n">
        <x:f>'Weekly Projections'!AW92</x:f>
        <x:v>4.856356275303644</x:v>
      </x:c>
    </x:row>
    <x:row r="90">
      <x:c r="A90" s="12" t="n">
        <x:f>'Weekly Projections'!BB93</x:f>
        <x:v>56</x:v>
      </x:c>
      <x:c r="B90" s="12" t="str">
        <x:f>'Weekly Projections'!A93</x:f>
        <x:v>George Holani</x:v>
      </x:c>
      <x:c r="C90" s="12" t="str">
        <x:f>'Weekly Projections'!B93</x:f>
        <x:v>SEA</x:v>
      </x:c>
      <x:c r="D90" s="12" t="str">
        <x:f>'Weekly Projections'!C93</x:f>
        <x:v>RB</x:v>
      </x:c>
      <x:c r="E90" s="12" t="n">
        <x:f>'Weekly Projections'!BA93</x:f>
        <x:v>6</x:v>
      </x:c>
      <x:c r="F90" s="17" t="n">
        <x:f>'Weekly Projections'!AW93</x:f>
        <x:v>4.8</x:v>
      </x:c>
    </x:row>
    <x:row r="91">
      <x:c r="A91" s="12" t="n">
        <x:f>'Weekly Projections'!BB94</x:f>
        <x:v>57</x:v>
      </x:c>
      <x:c r="B91" s="12" t="str">
        <x:f>'Weekly Projections'!A94</x:f>
        <x:v>Braelon Allen</x:v>
      </x:c>
      <x:c r="C91" s="12" t="str">
        <x:f>'Weekly Projections'!B94</x:f>
        <x:v>NYJ</x:v>
      </x:c>
      <x:c r="D91" s="12" t="str">
        <x:f>'Weekly Projections'!C94</x:f>
        <x:v>RB</x:v>
      </x:c>
      <x:c r="E91" s="12" t="n">
        <x:f>'Weekly Projections'!BA94</x:f>
        <x:v>6</x:v>
      </x:c>
      <x:c r="F91" s="17" t="n">
        <x:f>'Weekly Projections'!AW94</x:f>
        <x:v>4.671740890688259</x:v>
      </x:c>
    </x:row>
    <x:row r="92">
      <x:c r="A92" s="12" t="n">
        <x:f>'Weekly Projections'!BB95</x:f>
        <x:v>58</x:v>
      </x:c>
      <x:c r="B92" s="12" t="str">
        <x:f>'Weekly Projections'!A95</x:f>
        <x:v>Keaton Mitchell</x:v>
      </x:c>
      <x:c r="C92" s="12" t="str">
        <x:f>'Weekly Projections'!B95</x:f>
        <x:v>LAC</x:v>
      </x:c>
      <x:c r="D92" s="12" t="str">
        <x:f>'Weekly Projections'!C95</x:f>
        <x:v>RB</x:v>
      </x:c>
      <x:c r="E92" s="12" t="n">
        <x:f>'Weekly Projections'!BA95</x:f>
        <x:v>6</x:v>
      </x:c>
      <x:c r="F92" s="17" t="n">
        <x:f>'Weekly Projections'!AW95</x:f>
        <x:v>4.572738461538463</x:v>
      </x:c>
    </x:row>
    <x:row r="93">
      <x:c r="A93" s="12" t="n">
        <x:f>'Weekly Projections'!BB96</x:f>
        <x:v>59</x:v>
      </x:c>
      <x:c r="B93" s="12" t="str">
        <x:f>'Weekly Projections'!A96</x:f>
        <x:v>Jaylen Wright</x:v>
      </x:c>
      <x:c r="C93" s="12" t="str">
        <x:f>'Weekly Projections'!B96</x:f>
        <x:v>MIA</x:v>
      </x:c>
      <x:c r="D93" s="12" t="str">
        <x:f>'Weekly Projections'!C96</x:f>
        <x:v>RB</x:v>
      </x:c>
      <x:c r="E93" s="12" t="n">
        <x:f>'Weekly Projections'!BA96</x:f>
        <x:v>6</x:v>
      </x:c>
      <x:c r="F93" s="17" t="n">
        <x:f>'Weekly Projections'!AW96</x:f>
        <x:v>4.50585910931174</x:v>
      </x:c>
    </x:row>
    <x:row r="94">
      <x:c r="A94" s="12" t="n">
        <x:f>'Weekly Projections'!BB97</x:f>
        <x:v>60</x:v>
      </x:c>
      <x:c r="B94" s="12" t="str">
        <x:f>'Weekly Projections'!A97</x:f>
        <x:v>Kimani Vidal</x:v>
      </x:c>
      <x:c r="C94" s="12" t="str">
        <x:f>'Weekly Projections'!B97</x:f>
        <x:v>LAC</x:v>
      </x:c>
      <x:c r="D94" s="12" t="str">
        <x:f>'Weekly Projections'!C97</x:f>
        <x:v>RB</x:v>
      </x:c>
      <x:c r="E94" s="12" t="n">
        <x:f>'Weekly Projections'!BA97</x:f>
        <x:v>7</x:v>
      </x:c>
      <x:c r="F94" s="17" t="n">
        <x:f>'Weekly Projections'!AW97</x:f>
        <x:v>3.891692307692308</x:v>
      </x:c>
    </x:row>
    <x:row r="95">
      <x:c r="A95" s="12" t="n">
        <x:f>'Weekly Projections'!BB104</x:f>
        <x:v>61</x:v>
      </x:c>
      <x:c r="B95" s="12" t="str">
        <x:f>'Weekly Projections'!A104</x:f>
        <x:v>Chris Brooks</x:v>
      </x:c>
      <x:c r="C95" s="12" t="str">
        <x:f>'Weekly Projections'!B104</x:f>
        <x:v>GB</x:v>
      </x:c>
      <x:c r="D95" s="12" t="str">
        <x:f>'Weekly Projections'!C104</x:f>
        <x:v>RB</x:v>
      </x:c>
      <x:c r="E95" s="12" t="n">
        <x:f>'Weekly Projections'!BA104</x:f>
        <x:v>7</x:v>
      </x:c>
      <x:c r="F95" s="17" t="n">
        <x:f>'Weekly Projections'!AW104</x:f>
        <x:v>3.86</x:v>
      </x:c>
    </x:row>
    <x:row r="96">
      <x:c r="A96" s="12" t="n">
        <x:f>'Weekly Projections'!BB98</x:f>
        <x:v>62</x:v>
      </x:c>
      <x:c r="B96" s="12" t="str">
        <x:f>'Weekly Projections'!A98</x:f>
        <x:v>Najee Harris</x:v>
      </x:c>
      <x:c r="C96" s="12" t="str">
        <x:f>'Weekly Projections'!B98</x:f>
        <x:v>NYG</x:v>
      </x:c>
      <x:c r="D96" s="12" t="str">
        <x:f>'Weekly Projections'!C98</x:f>
        <x:v>RB</x:v>
      </x:c>
      <x:c r="E96" s="12" t="n">
        <x:f>'Weekly Projections'!BA98</x:f>
        <x:v>7</x:v>
      </x:c>
      <x:c r="F96" s="17" t="n">
        <x:f>'Weekly Projections'!AW98</x:f>
        <x:v>3.7105730526315783</x:v>
      </x:c>
    </x:row>
    <x:row r="97">
      <x:c r="A97" s="12" t="n">
        <x:f>'Weekly Projections'!BB100</x:f>
        <x:v>63</x:v>
      </x:c>
      <x:c r="B97" s="12" t="str">
        <x:f>'Weekly Projections'!A100</x:f>
        <x:v>Seth McGowan</x:v>
      </x:c>
      <x:c r="C97" s="12" t="str">
        <x:f>'Weekly Projections'!B100</x:f>
        <x:v>IND</x:v>
      </x:c>
      <x:c r="D97" s="12" t="str">
        <x:f>'Weekly Projections'!C100</x:f>
        <x:v>RB</x:v>
      </x:c>
      <x:c r="E97" s="12" t="n">
        <x:f>'Weekly Projections'!BA100</x:f>
        <x:v>7</x:v>
      </x:c>
      <x:c r="F97" s="17" t="n">
        <x:f>'Weekly Projections'!AW100</x:f>
        <x:v>3.664615384615384</x:v>
      </x:c>
    </x:row>
    <x:row r="98">
      <x:c r="A98" s="12" t="n">
        <x:f>'Weekly Projections'!BB101</x:f>
        <x:v>64</x:v>
      </x:c>
      <x:c r="B98" s="12" t="str">
        <x:f>'Weekly Projections'!A101</x:f>
        <x:v>Jordan James</x:v>
      </x:c>
      <x:c r="C98" s="12" t="str">
        <x:f>'Weekly Projections'!B101</x:f>
        <x:v>SF</x:v>
      </x:c>
      <x:c r="D98" s="12" t="str">
        <x:f>'Weekly Projections'!C101</x:f>
        <x:v>RB</x:v>
      </x:c>
      <x:c r="E98" s="12" t="n">
        <x:f>'Weekly Projections'!BA101</x:f>
        <x:v>7</x:v>
      </x:c>
      <x:c r="F98" s="17" t="n">
        <x:f>'Weekly Projections'!AW101</x:f>
        <x:v>3.358785425101214</x:v>
      </x:c>
    </x:row>
    <x:row r="99">
      <x:c r="A99" s="12" t="n">
        <x:f>'Weekly Projections'!BB102</x:f>
        <x:v>65</x:v>
      </x:c>
      <x:c r="B99" s="12" t="str">
        <x:f>'Weekly Projections'!A102</x:f>
        <x:v>Sean Tucker</x:v>
      </x:c>
      <x:c r="C99" s="12" t="str">
        <x:f>'Weekly Projections'!B102</x:f>
        <x:v>TB</x:v>
      </x:c>
      <x:c r="D99" s="12" t="str">
        <x:f>'Weekly Projections'!C102</x:f>
        <x:v>RB</x:v>
      </x:c>
      <x:c r="E99" s="12" t="n">
        <x:f>'Weekly Projections'!BA102</x:f>
        <x:v>7</x:v>
      </x:c>
      <x:c r="F99" s="17" t="n">
        <x:f>'Weekly Projections'!AW102</x:f>
        <x:v>3.1997149797570854</x:v>
      </x:c>
    </x:row>
    <x:row r="100">
      <x:c r="A100" s="12" t="n">
        <x:f>'Weekly Projections'!BB103</x:f>
        <x:v>66</x:v>
      </x:c>
      <x:c r="B100" s="12" t="str">
        <x:f>'Weekly Projections'!A103</x:f>
        <x:v>James Conner</x:v>
      </x:c>
      <x:c r="C100" s="12" t="str">
        <x:f>'Weekly Projections'!B103</x:f>
        <x:v>ARI</x:v>
      </x:c>
      <x:c r="D100" s="12" t="str">
        <x:f>'Weekly Projections'!C103</x:f>
        <x:v>RB</x:v>
      </x:c>
      <x:c r="E100" s="12" t="n">
        <x:f>'Weekly Projections'!BA103</x:f>
        <x:v>7</x:v>
      </x:c>
      <x:c r="F100" s="17" t="n">
        <x:f>'Weekly Projections'!AW103</x:f>
        <x:v>3.1236437246963553</x:v>
      </x:c>
    </x:row>
    <x:row r="101">
      <x:c r="A101" s="12" t="n">
        <x:f>'Weekly Projections'!BB105</x:f>
        <x:v>67</x:v>
      </x:c>
      <x:c r="B101" s="12" t="str">
        <x:f>'Weekly Projections'!A105</x:f>
        <x:v>Demond Claiborne</x:v>
      </x:c>
      <x:c r="C101" s="12" t="str">
        <x:f>'Weekly Projections'!B105</x:f>
        <x:v>MIN</x:v>
      </x:c>
      <x:c r="D101" s="12" t="str">
        <x:f>'Weekly Projections'!C105</x:f>
        <x:v>RB</x:v>
      </x:c>
      <x:c r="E101" s="12" t="n">
        <x:f>'Weekly Projections'!BA105</x:f>
        <x:v>7</x:v>
      </x:c>
      <x:c r="F101" s="17" t="n">
        <x:f>'Weekly Projections'!AW105</x:f>
        <x:v>3.0723886639676117</x:v>
      </x:c>
    </x:row>
    <x:row r="102">
      <x:c r="A102" s="12" t="n">
        <x:f>'Weekly Projections'!BB107</x:f>
        <x:v>68</x:v>
      </x:c>
      <x:c r="B102" s="12" t="str">
        <x:f>'Weekly Projections'!A107</x:f>
        <x:v>Emanuel Wilson</x:v>
      </x:c>
      <x:c r="C102" s="12" t="str">
        <x:f>'Weekly Projections'!B107</x:f>
        <x:v>SEA</x:v>
      </x:c>
      <x:c r="D102" s="12" t="str">
        <x:f>'Weekly Projections'!C107</x:f>
        <x:v>RB</x:v>
      </x:c>
      <x:c r="E102" s="12" t="n">
        <x:f>'Weekly Projections'!BA107</x:f>
        <x:v>8</x:v>
      </x:c>
      <x:c r="F102" s="17" t="n">
        <x:f>'Weekly Projections'!AW107</x:f>
        <x:v>3.0000000000000004</x:v>
      </x:c>
    </x:row>
    <x:row r="103">
      <x:c r="A103" s="12" t="n">
        <x:f>'Weekly Projections'!BB108</x:f>
        <x:v>69</x:v>
      </x:c>
      <x:c r="B103" s="12" t="str">
        <x:f>'Weekly Projections'!A108</x:f>
        <x:v>Samaje Perine</x:v>
      </x:c>
      <x:c r="C103" s="12" t="str">
        <x:f>'Weekly Projections'!B108</x:f>
        <x:v>CIN</x:v>
      </x:c>
      <x:c r="D103" s="12" t="str">
        <x:f>'Weekly Projections'!C108</x:f>
        <x:v>RB</x:v>
      </x:c>
      <x:c r="E103" s="12" t="n">
        <x:f>'Weekly Projections'!BA108</x:f>
        <x:v>8</x:v>
      </x:c>
      <x:c r="F103" s="17" t="n">
        <x:f>'Weekly Projections'!AW108</x:f>
        <x:v>2.9727449392712555</x:v>
      </x:c>
    </x:row>
    <x:row r="104">
      <x:c r="A104" s="12" t="n">
        <x:f>'Weekly Projections'!BB109</x:f>
        <x:v>70</x:v>
      </x:c>
      <x:c r="B104" s="12" t="str">
        <x:f>'Weekly Projections'!A109</x:f>
        <x:v>Justice Hill</x:v>
      </x:c>
      <x:c r="C104" s="12" t="str">
        <x:f>'Weekly Projections'!B109</x:f>
        <x:v>BAL</x:v>
      </x:c>
      <x:c r="D104" s="12" t="str">
        <x:f>'Weekly Projections'!C109</x:f>
        <x:v>RB</x:v>
      </x:c>
      <x:c r="E104" s="12" t="n">
        <x:f>'Weekly Projections'!BA109</x:f>
        <x:v>8</x:v>
      </x:c>
      <x:c r="F104" s="17" t="n">
        <x:f>'Weekly Projections'!AW109</x:f>
        <x:v>2.896236437246964</x:v>
      </x:c>
    </x:row>
    <x:row r="105">
      <x:c r="A105" s="12" t="n">
        <x:f>'Weekly Projections'!BB111</x:f>
        <x:v>71</x:v>
      </x:c>
      <x:c r="B105" s="12" t="str">
        <x:f>'Weekly Projections'!A111</x:f>
        <x:v>Kendre Miller</x:v>
      </x:c>
      <x:c r="C105" s="12" t="str">
        <x:f>'Weekly Projections'!B111</x:f>
        <x:v>NO</x:v>
      </x:c>
      <x:c r="D105" s="12" t="str">
        <x:f>'Weekly Projections'!C111</x:f>
        <x:v>RB</x:v>
      </x:c>
      <x:c r="E105" s="12" t="n">
        <x:f>'Weekly Projections'!BA111</x:f>
        <x:v>8</x:v>
      </x:c>
      <x:c r="F105" s="17" t="n">
        <x:f>'Weekly Projections'!AW111</x:f>
        <x:v>2.6759514170040486</x:v>
      </x:c>
    </x:row>
    <x:row r="106">
      <x:c r="A106" s="12" t="n">
        <x:f>'Weekly Projections'!BB112</x:f>
        <x:v>72</x:v>
      </x:c>
      <x:c r="B106" s="12" t="str">
        <x:f>'Weekly Projections'!A112</x:f>
        <x:v>Ollie Gordon II</x:v>
      </x:c>
      <x:c r="C106" s="12" t="str">
        <x:f>'Weekly Projections'!B112</x:f>
        <x:v>MIA</x:v>
      </x:c>
      <x:c r="D106" s="12" t="str">
        <x:f>'Weekly Projections'!C112</x:f>
        <x:v>RB</x:v>
      </x:c>
      <x:c r="E106" s="12" t="n">
        <x:f>'Weekly Projections'!BA112</x:f>
        <x:v>8</x:v>
      </x:c>
      <x:c r="F106" s="17" t="n">
        <x:f>'Weekly Projections'!AW112</x:f>
        <x:v>2.628417813765182</x:v>
      </x:c>
    </x:row>
    <x:row r="107">
      <x:c r="A107" s="12" t="n">
        <x:f>'Weekly Projections'!BB113</x:f>
        <x:v>73</x:v>
      </x:c>
      <x:c r="B107" s="12" t="str">
        <x:f>'Weekly Projections'!A113</x:f>
        <x:v>LeQuint Allen Jr.</x:v>
      </x:c>
      <x:c r="C107" s="12" t="str">
        <x:f>'Weekly Projections'!B113</x:f>
        <x:v>JAC</x:v>
      </x:c>
      <x:c r="D107" s="12" t="str">
        <x:f>'Weekly Projections'!C113</x:f>
        <x:v>RB</x:v>
      </x:c>
      <x:c r="E107" s="12" t="n">
        <x:f>'Weekly Projections'!BA113</x:f>
        <x:v>8</x:v>
      </x:c>
      <x:c r="F107" s="17" t="n">
        <x:f>'Weekly Projections'!AW113</x:f>
        <x:v>2.5</x:v>
      </x:c>
    </x:row>
    <x:row r="108">
      <x:c r="A108" s="12" t="n">
        <x:f>'Weekly Projections'!BB115</x:f>
        <x:v>74</x:v>
      </x:c>
      <x:c r="B108" s="12" t="str">
        <x:f>'Weekly Projections'!A115</x:f>
        <x:v>Ty Johnson</x:v>
      </x:c>
      <x:c r="C108" s="12" t="str">
        <x:f>'Weekly Projections'!B115</x:f>
        <x:v>BUF</x:v>
      </x:c>
      <x:c r="D108" s="12" t="str">
        <x:f>'Weekly Projections'!C115</x:f>
        <x:v>RB</x:v>
      </x:c>
      <x:c r="E108" s="12" t="n">
        <x:f>'Weekly Projections'!BA115</x:f>
        <x:v>8</x:v>
      </x:c>
      <x:c r="F108" s="17" t="n">
        <x:f>'Weekly Projections'!AW115</x:f>
        <x:v>2.3819433198380566</x:v>
      </x:c>
    </x:row>
    <x:row r="109">
      <x:c r="A109" s="12" t="n">
        <x:f>'Weekly Projections'!BB114</x:f>
        <x:v>75</x:v>
      </x:c>
      <x:c r="B109" s="12" t="str">
        <x:f>'Weekly Projections'!A114</x:f>
        <x:v>Devin Singletary</x:v>
      </x:c>
      <x:c r="C109" s="12" t="str">
        <x:f>'Weekly Projections'!B114</x:f>
        <x:v>NYG</x:v>
      </x:c>
      <x:c r="D109" s="12" t="str">
        <x:f>'Weekly Projections'!C114</x:f>
        <x:v>RB</x:v>
      </x:c>
      <x:c r="E109" s="12" t="n">
        <x:f>'Weekly Projections'!BA114</x:f>
        <x:v>8</x:v>
      </x:c>
      <x:c r="F109" s="17" t="n">
        <x:f>'Weekly Projections'!AW114</x:f>
        <x:v>2.378572469635628</x:v>
      </x:c>
    </x:row>
    <x:row r="110">
      <x:c r="A110" s="12" t="n">
        <x:f>'Weekly Projections'!BB116</x:f>
        <x:v>76</x:v>
      </x:c>
      <x:c r="B110" s="12" t="str">
        <x:f>'Weekly Projections'!A116</x:f>
        <x:v>DJ Giddens</x:v>
      </x:c>
      <x:c r="C110" s="12" t="str">
        <x:f>'Weekly Projections'!B116</x:f>
        <x:v>IND</x:v>
      </x:c>
      <x:c r="D110" s="12" t="str">
        <x:f>'Weekly Projections'!C116</x:f>
        <x:v>RB</x:v>
      </x:c>
      <x:c r="E110" s="12" t="n">
        <x:f>'Weekly Projections'!BA116</x:f>
        <x:v>8</x:v>
      </x:c>
      <x:c r="F110" s="17" t="n">
        <x:f>'Weekly Projections'!AW116</x:f>
        <x:v>2.314493927125506</x:v>
      </x:c>
    </x:row>
    <x:row r="111">
      <x:c r="A111" s="12" t="n">
        <x:f>'Weekly Projections'!BB117</x:f>
        <x:v>77</x:v>
      </x:c>
      <x:c r="B111" s="12" t="str">
        <x:f>'Weekly Projections'!A117</x:f>
        <x:v>Eli Heidenreich</x:v>
      </x:c>
      <x:c r="C111" s="12" t="str">
        <x:f>'Weekly Projections'!B117</x:f>
        <x:v>PIT</x:v>
      </x:c>
      <x:c r="D111" s="12" t="str">
        <x:f>'Weekly Projections'!C117</x:f>
        <x:v>RB</x:v>
      </x:c>
      <x:c r="E111" s="12" t="n">
        <x:f>'Weekly Projections'!BA117</x:f>
        <x:v>9</x:v>
      </x:c>
      <x:c r="F111" s="17" t="n">
        <x:f>'Weekly Projections'!AW117</x:f>
        <x:v>2.258001619433199</x:v>
      </x:c>
    </x:row>
    <x:row r="112">
      <x:c r="A112" s="12" t="n">
        <x:f>'Weekly Projections'!BB118</x:f>
        <x:v>78</x:v>
      </x:c>
      <x:c r="B112" s="12" t="str">
        <x:f>'Weekly Projections'!A118</x:f>
        <x:v>Brashard Smith</x:v>
      </x:c>
      <x:c r="C112" s="12" t="str">
        <x:f>'Weekly Projections'!B118</x:f>
        <x:v>KC</x:v>
      </x:c>
      <x:c r="D112" s="12" t="str">
        <x:f>'Weekly Projections'!C118</x:f>
        <x:v>RB</x:v>
      </x:c>
      <x:c r="E112" s="12" t="n">
        <x:f>'Weekly Projections'!BA118</x:f>
        <x:v>9</x:v>
      </x:c>
      <x:c r="F112" s="17" t="n">
        <x:f>'Weekly Projections'!AW118</x:f>
        <x:v>2.2331757085020247</x:v>
      </x:c>
    </x:row>
    <x:row r="113">
      <x:c r="A113" s="12" t="n">
        <x:f>'Weekly Projections'!BB119</x:f>
        <x:v>79</x:v>
      </x:c>
      <x:c r="B113" s="12" t="str">
        <x:f>'Weekly Projections'!A119</x:f>
        <x:v>Will Shipley</x:v>
      </x:c>
      <x:c r="C113" s="12" t="str">
        <x:f>'Weekly Projections'!B119</x:f>
        <x:v>PHI</x:v>
      </x:c>
      <x:c r="D113" s="12" t="str">
        <x:f>'Weekly Projections'!C119</x:f>
        <x:v>RB</x:v>
      </x:c>
      <x:c r="E113" s="12" t="n">
        <x:f>'Weekly Projections'!BA119</x:f>
        <x:v>9</x:v>
      </x:c>
      <x:c r="F113" s="17" t="n">
        <x:f>'Weekly Projections'!AW119</x:f>
        <x:v>2.194644534412956</x:v>
      </x:c>
    </x:row>
    <x:row r="114">
      <x:c r="A114" s="12" t="n">
        <x:f>'Weekly Projections'!BB120</x:f>
        <x:v>80</x:v>
      </x:c>
      <x:c r="B114" s="12" t="str">
        <x:f>'Weekly Projections'!A120</x:f>
        <x:v>Emari Demercado</x:v>
      </x:c>
      <x:c r="C114" s="12" t="str">
        <x:f>'Weekly Projections'!B120</x:f>
        <x:v>DAL</x:v>
      </x:c>
      <x:c r="D114" s="12" t="str">
        <x:f>'Weekly Projections'!C120</x:f>
        <x:v>RB</x:v>
      </x:c>
      <x:c r="E114" s="12" t="n">
        <x:f>'Weekly Projections'!BA120</x:f>
        <x:v>9</x:v>
      </x:c>
      <x:c r="F114" s="17" t="n">
        <x:f>'Weekly Projections'!AW120</x:f>
        <x:v>2.177085020242915</x:v>
      </x:c>
    </x:row>
    <x:row r="115">
      <x:c r="A115" s="12" t="n">
        <x:f>'Weekly Projections'!BB121</x:f>
        <x:v>81</x:v>
      </x:c>
      <x:c r="B115" s="12" t="str">
        <x:f>'Weekly Projections'!A121</x:f>
        <x:v>Isaiah Davis</x:v>
      </x:c>
      <x:c r="C115" s="12" t="str">
        <x:f>'Weekly Projections'!B121</x:f>
        <x:v>NYJ</x:v>
      </x:c>
      <x:c r="D115" s="12" t="str">
        <x:f>'Weekly Projections'!C121</x:f>
        <x:v>RB</x:v>
      </x:c>
      <x:c r="E115" s="12" t="n">
        <x:f>'Weekly Projections'!BA121</x:f>
        <x:v>9</x:v>
      </x:c>
      <x:c r="F115" s="17" t="n">
        <x:f>'Weekly Projections'!AW121</x:f>
        <x:v>2.141214574898786</x:v>
      </x:c>
    </x:row>
    <x:row r="116">
      <x:c r="A116" s="12" t="n">
        <x:f>'Weekly Projections'!BB122</x:f>
        <x:v>82</x:v>
      </x:c>
      <x:c r="B116" s="12" t="str">
        <x:f>'Weekly Projections'!A122</x:f>
        <x:v>Jaydon Blue</x:v>
      </x:c>
      <x:c r="C116" s="12" t="str">
        <x:f>'Weekly Projections'!B122</x:f>
        <x:v>PHI</x:v>
      </x:c>
      <x:c r="D116" s="12" t="str">
        <x:f>'Weekly Projections'!C122</x:f>
        <x:v>RB</x:v>
      </x:c>
      <x:c r="E116" s="12" t="n">
        <x:f>'Weekly Projections'!BA122</x:f>
        <x:v>9</x:v>
      </x:c>
      <x:c r="F116" s="17" t="n">
        <x:f>'Weekly Projections'!AW122</x:f>
        <x:v>2.0901376518218626</x:v>
      </x:c>
    </x:row>
    <x:row r="117">
      <x:c r="A117" s="12" t="n">
        <x:f>'Weekly Projections'!BB123</x:f>
        <x:v>83</x:v>
      </x:c>
      <x:c r="B117" s="12" t="str">
        <x:f>'Weekly Projections'!A123</x:f>
        <x:v>Raheim Sanders</x:v>
      </x:c>
      <x:c r="C117" s="12" t="str">
        <x:f>'Weekly Projections'!B123</x:f>
        <x:v>CLE</x:v>
      </x:c>
      <x:c r="D117" s="12" t="str">
        <x:f>'Weekly Projections'!C123</x:f>
        <x:v>RB</x:v>
      </x:c>
      <x:c r="E117" s="12" t="n">
        <x:f>'Weekly Projections'!BA123</x:f>
        <x:v>9</x:v>
      </x:c>
      <x:c r="F117" s="17" t="n">
        <x:f>'Weekly Projections'!AW123</x:f>
        <x:v>2.0675141700404858</x:v>
      </x:c>
    </x:row>
    <x:row r="118">
      <x:c r="A118" s="12" t="n">
        <x:f>'Weekly Projections'!BB125</x:f>
        <x:v>84</x:v>
      </x:c>
      <x:c r="B118" s="12" t="str">
        <x:f>'Weekly Projections'!A125</x:f>
        <x:v>Audric Estime</x:v>
      </x:c>
      <x:c r="C118" s="12" t="str">
        <x:f>'Weekly Projections'!B125</x:f>
        <x:v>NO</x:v>
      </x:c>
      <x:c r="D118" s="12" t="str">
        <x:f>'Weekly Projections'!C125</x:f>
        <x:v>RB</x:v>
      </x:c>
      <x:c r="E118" s="12" t="n">
        <x:f>'Weekly Projections'!BA125</x:f>
        <x:v>9</x:v>
      </x:c>
      <x:c r="F118" s="17" t="n">
        <x:f>'Weekly Projections'!AW125</x:f>
        <x:v>1.982186234817814</x:v>
      </x:c>
    </x:row>
    <x:row r="119">
      <x:c r="A119" s="12" t="n">
        <x:f>'Weekly Projections'!BB126</x:f>
        <x:v>85</x:v>
      </x:c>
      <x:c r="B119" s="12" t="str">
        <x:f>'Weekly Projections'!A126</x:f>
        <x:v>Jawhar Jordan</x:v>
      </x:c>
      <x:c r="C119" s="12" t="str">
        <x:f>'Weekly Projections'!B126</x:f>
        <x:v>HOU</x:v>
      </x:c>
      <x:c r="D119" s="12" t="str">
        <x:f>'Weekly Projections'!C126</x:f>
        <x:v>RB</x:v>
      </x:c>
      <x:c r="E119" s="12" t="n">
        <x:f>'Weekly Projections'!BA126</x:f>
        <x:v>9</x:v>
      </x:c>
      <x:c r="F119" s="17" t="n">
        <x:f>'Weekly Projections'!AW126</x:f>
        <x:v>1.982186234817814</x:v>
      </x:c>
    </x:row>
    <x:row r="120">
      <x:c r="A120" s="12" t="n">
        <x:f>'Weekly Projections'!BB127</x:f>
        <x:v>86</x:v>
      </x:c>
      <x:c r="B120" s="12" t="str">
        <x:f>'Weekly Projections'!A127</x:f>
        <x:v>Tahj Brooks</x:v>
      </x:c>
      <x:c r="C120" s="12" t="str">
        <x:f>'Weekly Projections'!B127</x:f>
        <x:v>CIN</x:v>
      </x:c>
      <x:c r="D120" s="12" t="str">
        <x:f>'Weekly Projections'!C127</x:f>
        <x:v>RB</x:v>
      </x:c>
      <x:c r="E120" s="12" t="n">
        <x:f>'Weekly Projections'!BA127</x:f>
        <x:v>10</x:v>
      </x:c>
      <x:c r="F120" s="17" t="n">
        <x:f>'Weekly Projections'!AW127</x:f>
        <x:v>1.9818299595141704</x:v>
      </x:c>
    </x:row>
    <x:row r="121">
      <x:c r="A121" s="12" t="n">
        <x:f>'Weekly Projections'!BB128</x:f>
        <x:v>87</x:v>
      </x:c>
      <x:c r="B121" s="12" t="str">
        <x:f>'Weekly Projections'!A128</x:f>
        <x:v>Trevor Etienne</x:v>
      </x:c>
      <x:c r="C121" s="12" t="str">
        <x:f>'Weekly Projections'!B128</x:f>
        <x:v>CAR</x:v>
      </x:c>
      <x:c r="D121" s="12" t="str">
        <x:f>'Weekly Projections'!C128</x:f>
        <x:v>RB</x:v>
      </x:c>
      <x:c r="E121" s="12" t="n">
        <x:f>'Weekly Projections'!BA128</x:f>
        <x:v>10</x:v>
      </x:c>
      <x:c r="F121" s="17" t="n">
        <x:f>'Weekly Projections'!AW128</x:f>
        <x:v>1.9294574898785426</x:v>
      </x:c>
    </x:row>
    <x:row r="122">
      <x:c r="A122" s="12" t="n">
        <x:f>'Weekly Projections'!BB129</x:f>
        <x:v>88</x:v>
      </x:c>
      <x:c r="B122" s="12" t="str">
        <x:f>'Weekly Projections'!A129</x:f>
        <x:v>Bam Knight</x:v>
      </x:c>
      <x:c r="C122" s="12" t="str">
        <x:f>'Weekly Projections'!B129</x:f>
        <x:v>ARI</x:v>
      </x:c>
      <x:c r="D122" s="12" t="str">
        <x:f>'Weekly Projections'!C129</x:f>
        <x:v>RB</x:v>
      </x:c>
      <x:c r="E122" s="12" t="n">
        <x:f>'Weekly Projections'!BA129</x:f>
        <x:v>10</x:v>
      </x:c>
      <x:c r="F122" s="17" t="n">
        <x:f>'Weekly Projections'!AW129</x:f>
        <x:v>1.8931174089068825</x:v>
      </x:c>
    </x:row>
    <x:row r="123">
      <x:c r="A123" s="12" t="n">
        <x:f>'Weekly Projections'!BB131</x:f>
        <x:v>89</x:v>
      </x:c>
      <x:c r="B123" s="12" t="str">
        <x:f>'Weekly Projections'!A131</x:f>
        <x:v>Jarquez Hunter</x:v>
      </x:c>
      <x:c r="C123" s="12" t="str">
        <x:f>'Weekly Projections'!B131</x:f>
        <x:v>MIA</x:v>
      </x:c>
      <x:c r="D123" s="12" t="str">
        <x:f>'Weekly Projections'!C131</x:f>
        <x:v>RB</x:v>
      </x:c>
      <x:c r="E123" s="12" t="n">
        <x:f>'Weekly Projections'!BA131</x:f>
        <x:v>10</x:v>
      </x:c>
      <x:c r="F123" s="17" t="n">
        <x:f>'Weekly Projections'!AW131</x:f>
        <x:v>1.8774412955465587</x:v>
      </x:c>
    </x:row>
    <x:row r="124">
      <x:c r="A124" s="12" t="n">
        <x:f>'Weekly Projections'!BB135</x:f>
        <x:v>1</x:v>
      </x:c>
      <x:c r="B124" s="12" t="str">
        <x:f>'Weekly Projections'!A135</x:f>
        <x:v>Ja'Marr Chase</x:v>
      </x:c>
      <x:c r="C124" s="12" t="str">
        <x:f>'Weekly Projections'!B135</x:f>
        <x:v>CIN</x:v>
      </x:c>
      <x:c r="D124" s="12" t="str">
        <x:f>'Weekly Projections'!C135</x:f>
        <x:v>WR</x:v>
      </x:c>
      <x:c r="E124" s="12" t="n">
        <x:f>'Weekly Projections'!BA135</x:f>
        <x:v>1</x:v>
      </x:c>
      <x:c r="F124" s="17" t="n">
        <x:f>'Weekly Projections'!AW135</x:f>
        <x:v>16.13945391304348</x:v>
      </x:c>
    </x:row>
    <x:row r="125">
      <x:c r="A125" s="12" t="n">
        <x:f>'Weekly Projections'!BB136</x:f>
        <x:v>2</x:v>
      </x:c>
      <x:c r="B125" s="12" t="str">
        <x:f>'Weekly Projections'!A136</x:f>
        <x:v>Jaxon Smith-Njigba</x:v>
      </x:c>
      <x:c r="C125" s="12" t="str">
        <x:f>'Weekly Projections'!B136</x:f>
        <x:v>SEA</x:v>
      </x:c>
      <x:c r="D125" s="12" t="str">
        <x:f>'Weekly Projections'!C136</x:f>
        <x:v>WR</x:v>
      </x:c>
      <x:c r="E125" s="12" t="n">
        <x:f>'Weekly Projections'!BA136</x:f>
        <x:v>1</x:v>
      </x:c>
      <x:c r="F125" s="17" t="n">
        <x:f>'Weekly Projections'!AW136</x:f>
        <x:v>15.863913043478263</x:v>
      </x:c>
    </x:row>
    <x:row r="126">
      <x:c r="A126" s="12" t="n">
        <x:f>'Weekly Projections'!BB137</x:f>
        <x:v>3</x:v>
      </x:c>
      <x:c r="B126" s="12" t="str">
        <x:f>'Weekly Projections'!A137</x:f>
        <x:v>Amon-Ra St. Brown</x:v>
      </x:c>
      <x:c r="C126" s="12" t="str">
        <x:f>'Weekly Projections'!B137</x:f>
        <x:v>DET</x:v>
      </x:c>
      <x:c r="D126" s="12" t="str">
        <x:f>'Weekly Projections'!C137</x:f>
        <x:v>WR</x:v>
      </x:c>
      <x:c r="E126" s="12" t="n">
        <x:f>'Weekly Projections'!BA137</x:f>
        <x:v>1</x:v>
      </x:c>
      <x:c r="F126" s="17" t="n">
        <x:f>'Weekly Projections'!AW137</x:f>
        <x:v>15.714913043478258</x:v>
      </x:c>
    </x:row>
    <x:row r="127">
      <x:c r="A127" s="12" t="n">
        <x:f>'Weekly Projections'!BB138</x:f>
        <x:v>4</x:v>
      </x:c>
      <x:c r="B127" s="12" t="str">
        <x:f>'Weekly Projections'!A138</x:f>
        <x:v>Justin Jefferson</x:v>
      </x:c>
      <x:c r="C127" s="12" t="str">
        <x:f>'Weekly Projections'!B138</x:f>
        <x:v>MIN</x:v>
      </x:c>
      <x:c r="D127" s="12" t="str">
        <x:f>'Weekly Projections'!C138</x:f>
        <x:v>WR</x:v>
      </x:c>
      <x:c r="E127" s="12" t="n">
        <x:f>'Weekly Projections'!BA138</x:f>
        <x:v>1</x:v>
      </x:c>
      <x:c r="F127" s="17" t="n">
        <x:f>'Weekly Projections'!AW138</x:f>
        <x:v>13.598935652173914</x:v>
      </x:c>
    </x:row>
    <x:row r="128">
      <x:c r="A128" s="12" t="n">
        <x:f>'Weekly Projections'!BB153</x:f>
        <x:v>5</x:v>
      </x:c>
      <x:c r="B128" s="12" t="str">
        <x:f>'Weekly Projections'!A153</x:f>
        <x:v>Christian Watson</x:v>
      </x:c>
      <x:c r="C128" s="12" t="str">
        <x:f>'Weekly Projections'!B153</x:f>
        <x:v>GB</x:v>
      </x:c>
      <x:c r="D128" s="12" t="str">
        <x:f>'Weekly Projections'!C153</x:f>
        <x:v>WR</x:v>
      </x:c>
      <x:c r="E128" s="12" t="n">
        <x:f>'Weekly Projections'!BA153</x:f>
        <x:v>2</x:v>
      </x:c>
      <x:c r="F128" s="17" t="n">
        <x:f>'Weekly Projections'!AW153</x:f>
        <x:v>12.723159420289855</x:v>
      </x:c>
    </x:row>
    <x:row r="129">
      <x:c r="A129" s="12" t="n">
        <x:f>'Weekly Projections'!BB139</x:f>
        <x:v>6</x:v>
      </x:c>
      <x:c r="B129" s="12" t="str">
        <x:f>'Weekly Projections'!A139</x:f>
        <x:v>CeeDee Lamb</x:v>
      </x:c>
      <x:c r="C129" s="12" t="str">
        <x:f>'Weekly Projections'!B139</x:f>
        <x:v>DAL</x:v>
      </x:c>
      <x:c r="D129" s="12" t="str">
        <x:f>'Weekly Projections'!C139</x:f>
        <x:v>WR</x:v>
      </x:c>
      <x:c r="E129" s="12" t="n">
        <x:f>'Weekly Projections'!BA139</x:f>
        <x:v>1</x:v>
      </x:c>
      <x:c r="F129" s="17" t="n">
        <x:f>'Weekly Projections'!AW139</x:f>
        <x:v>12.580173913043476</x:v>
      </x:c>
    </x:row>
    <x:row r="130">
      <x:c r="A130" s="12" t="n">
        <x:f>'Weekly Projections'!BB140</x:f>
        <x:v>7</x:v>
      </x:c>
      <x:c r="B130" s="12" t="str">
        <x:f>'Weekly Projections'!A140</x:f>
        <x:v>Rashee Rice</x:v>
      </x:c>
      <x:c r="C130" s="12" t="str">
        <x:f>'Weekly Projections'!B140</x:f>
        <x:v>KC</x:v>
      </x:c>
      <x:c r="D130" s="12" t="str">
        <x:f>'Weekly Projections'!C140</x:f>
        <x:v>WR</x:v>
      </x:c>
      <x:c r="E130" s="12" t="n">
        <x:f>'Weekly Projections'!BA140</x:f>
        <x:v>1</x:v>
      </x:c>
      <x:c r="F130" s="17" t="n">
        <x:f>'Weekly Projections'!AW140</x:f>
        <x:v>12.257632173913043</x:v>
      </x:c>
    </x:row>
    <x:row r="131">
      <x:c r="A131" s="12" t="n">
        <x:f>'Weekly Projections'!BB141</x:f>
        <x:v>8</x:v>
      </x:c>
      <x:c r="B131" s="12" t="str">
        <x:f>'Weekly Projections'!A141</x:f>
        <x:v>Drake London</x:v>
      </x:c>
      <x:c r="C131" s="12" t="str">
        <x:f>'Weekly Projections'!B141</x:f>
        <x:v>ATL</x:v>
      </x:c>
      <x:c r="D131" s="12" t="str">
        <x:f>'Weekly Projections'!C141</x:f>
        <x:v>WR</x:v>
      </x:c>
      <x:c r="E131" s="12" t="n">
        <x:f>'Weekly Projections'!BA141</x:f>
        <x:v>1</x:v>
      </x:c>
      <x:c r="F131" s="17" t="n">
        <x:f>'Weekly Projections'!AW141</x:f>
        <x:v>12.11080347826087</x:v>
      </x:c>
    </x:row>
    <x:row r="132">
      <x:c r="A132" s="12" t="n">
        <x:f>'Weekly Projections'!BB152</x:f>
        <x:v>9</x:v>
      </x:c>
      <x:c r="B132" s="12" t="str">
        <x:f>'Weekly Projections'!A152</x:f>
        <x:v>Davante Adams</x:v>
      </x:c>
      <x:c r="C132" s="12" t="str">
        <x:f>'Weekly Projections'!B152</x:f>
        <x:v>LAR</x:v>
      </x:c>
      <x:c r="D132" s="12" t="str">
        <x:f>'Weekly Projections'!C152</x:f>
        <x:v>WR</x:v>
      </x:c>
      <x:c r="E132" s="12" t="n">
        <x:f>'Weekly Projections'!BA152</x:f>
        <x:v>2</x:v>
      </x:c>
      <x:c r="F132" s="17" t="n">
        <x:f>'Weekly Projections'!AW152</x:f>
        <x:v>11.8968272</x:v>
      </x:c>
    </x:row>
    <x:row r="133">
      <x:c r="A133" s="12" t="n">
        <x:f>'Weekly Projections'!BB142</x:f>
        <x:v>10</x:v>
      </x:c>
      <x:c r="B133" s="12" t="str">
        <x:f>'Weekly Projections'!A142</x:f>
        <x:v>George Pickens</x:v>
      </x:c>
      <x:c r="C133" s="12" t="str">
        <x:f>'Weekly Projections'!B142</x:f>
        <x:v>DAL</x:v>
      </x:c>
      <x:c r="D133" s="12" t="str">
        <x:f>'Weekly Projections'!C142</x:f>
        <x:v>WR</x:v>
      </x:c>
      <x:c r="E133" s="12" t="n">
        <x:f>'Weekly Projections'!BA142</x:f>
        <x:v>1</x:v>
      </x:c>
      <x:c r="F133" s="17" t="n">
        <x:f>'Weekly Projections'!AW142</x:f>
        <x:v>11.817739130434783</x:v>
      </x:c>
    </x:row>
    <x:row r="134">
      <x:c r="A134" s="12" t="n">
        <x:f>'Weekly Projections'!BB143</x:f>
        <x:v>11</x:v>
      </x:c>
      <x:c r="B134" s="12" t="str">
        <x:f>'Weekly Projections'!A143</x:f>
        <x:v>Chris Olave</x:v>
      </x:c>
      <x:c r="C134" s="12" t="str">
        <x:f>'Weekly Projections'!B143</x:f>
        <x:v>NO</x:v>
      </x:c>
      <x:c r="D134" s="12" t="str">
        <x:f>'Weekly Projections'!C143</x:f>
        <x:v>WR</x:v>
      </x:c>
      <x:c r="E134" s="12" t="n">
        <x:f>'Weekly Projections'!BA143</x:f>
        <x:v>1</x:v>
      </x:c>
      <x:c r="F134" s="17" t="n">
        <x:f>'Weekly Projections'!AW143</x:f>
        <x:v>11.79694782608696</x:v>
      </x:c>
    </x:row>
    <x:row r="135">
      <x:c r="A135" s="12" t="n">
        <x:f>'Weekly Projections'!BB144</x:f>
        <x:v>12</x:v>
      </x:c>
      <x:c r="B135" s="12" t="str">
        <x:f>'Weekly Projections'!A144</x:f>
        <x:v>DeVonta Smith</x:v>
      </x:c>
      <x:c r="C135" s="12" t="str">
        <x:f>'Weekly Projections'!B144</x:f>
        <x:v>PHI</x:v>
      </x:c>
      <x:c r="D135" s="12" t="str">
        <x:f>'Weekly Projections'!C144</x:f>
        <x:v>WR</x:v>
      </x:c>
      <x:c r="E135" s="12" t="n">
        <x:f>'Weekly Projections'!BA144</x:f>
        <x:v>1</x:v>
      </x:c>
      <x:c r="F135" s="17" t="n">
        <x:f>'Weekly Projections'!AW144</x:f>
        <x:v>11.227680000000003</x:v>
      </x:c>
    </x:row>
    <x:row r="136">
      <x:c r="A136" s="12" t="n">
        <x:f>'Weekly Projections'!BB145</x:f>
        <x:v>13</x:v>
      </x:c>
      <x:c r="B136" s="12" t="str">
        <x:f>'Weekly Projections'!A145</x:f>
        <x:v>DJ Moore</x:v>
      </x:c>
      <x:c r="C136" s="12" t="str">
        <x:f>'Weekly Projections'!B145</x:f>
        <x:v>BUF</x:v>
      </x:c>
      <x:c r="D136" s="12" t="str">
        <x:f>'Weekly Projections'!C145</x:f>
        <x:v>WR</x:v>
      </x:c>
      <x:c r="E136" s="12" t="n">
        <x:f>'Weekly Projections'!BA145</x:f>
        <x:v>1</x:v>
      </x:c>
      <x:c r="F136" s="17" t="n">
        <x:f>'Weekly Projections'!AW145</x:f>
        <x:v>10.793110724637682</x:v>
      </x:c>
    </x:row>
    <x:row r="137">
      <x:c r="A137" s="12" t="n">
        <x:f>'Weekly Projections'!BB146</x:f>
        <x:v>14</x:v>
      </x:c>
      <x:c r="B137" s="12" t="str">
        <x:f>'Weekly Projections'!A146</x:f>
        <x:v>Tee Higgins</x:v>
      </x:c>
      <x:c r="C137" s="12" t="str">
        <x:f>'Weekly Projections'!B146</x:f>
        <x:v>CIN</x:v>
      </x:c>
      <x:c r="D137" s="12" t="str">
        <x:f>'Weekly Projections'!C146</x:f>
        <x:v>WR</x:v>
      </x:c>
      <x:c r="E137" s="12" t="n">
        <x:f>'Weekly Projections'!BA146</x:f>
        <x:v>1</x:v>
      </x:c>
      <x:c r="F137" s="17" t="n">
        <x:f>'Weekly Projections'!AW146</x:f>
        <x:v>10.726832173913042</x:v>
      </x:c>
    </x:row>
    <x:row r="138">
      <x:c r="A138" s="12" t="n">
        <x:f>'Weekly Projections'!BB148</x:f>
        <x:v>15</x:v>
      </x:c>
      <x:c r="B138" s="12" t="str">
        <x:f>'Weekly Projections'!A148</x:f>
        <x:v>Garrett Wilson</x:v>
      </x:c>
      <x:c r="C138" s="12" t="str">
        <x:f>'Weekly Projections'!B148</x:f>
        <x:v>NYJ</x:v>
      </x:c>
      <x:c r="D138" s="12" t="str">
        <x:f>'Weekly Projections'!C148</x:f>
        <x:v>WR</x:v>
      </x:c>
      <x:c r="E138" s="12" t="n">
        <x:f>'Weekly Projections'!BA148</x:f>
        <x:v>2</x:v>
      </x:c>
      <x:c r="F138" s="17" t="n">
        <x:f>'Weekly Projections'!AW148</x:f>
        <x:v>10.673001739130436</x:v>
      </x:c>
    </x:row>
    <x:row r="139">
      <x:c r="A139" s="12" t="n">
        <x:f>'Weekly Projections'!BB149</x:f>
        <x:v>16</x:v>
      </x:c>
      <x:c r="B139" s="12" t="str">
        <x:f>'Weekly Projections'!A149</x:f>
        <x:v>Jameson Williams</x:v>
      </x:c>
      <x:c r="C139" s="12" t="str">
        <x:f>'Weekly Projections'!B149</x:f>
        <x:v>DET</x:v>
      </x:c>
      <x:c r="D139" s="12" t="str">
        <x:f>'Weekly Projections'!C149</x:f>
        <x:v>WR</x:v>
      </x:c>
      <x:c r="E139" s="12" t="n">
        <x:f>'Weekly Projections'!BA149</x:f>
        <x:v>2</x:v>
      </x:c>
      <x:c r="F139" s="17" t="n">
        <x:f>'Weekly Projections'!AW149</x:f>
        <x:v>10.581374782608696</x:v>
      </x:c>
    </x:row>
    <x:row r="140">
      <x:c r="A140" s="12" t="n">
        <x:f>'Weekly Projections'!BB150</x:f>
        <x:v>17</x:v>
      </x:c>
      <x:c r="B140" s="12" t="str">
        <x:f>'Weekly Projections'!A150</x:f>
        <x:v>Emeka Egbuka</x:v>
      </x:c>
      <x:c r="C140" s="12" t="str">
        <x:f>'Weekly Projections'!B150</x:f>
        <x:v>TB</x:v>
      </x:c>
      <x:c r="D140" s="12" t="str">
        <x:f>'Weekly Projections'!C150</x:f>
        <x:v>WR</x:v>
      </x:c>
      <x:c r="E140" s="12" t="n">
        <x:f>'Weekly Projections'!BA150</x:f>
        <x:v>2</x:v>
      </x:c>
      <x:c r="F140" s="17" t="n">
        <x:f>'Weekly Projections'!AW150</x:f>
        <x:v>10.515384347826089</x:v>
      </x:c>
    </x:row>
    <x:row r="141">
      <x:c r="A141" s="12" t="n">
        <x:f>'Weekly Projections'!BB151</x:f>
        <x:v>18</x:v>
      </x:c>
      <x:c r="B141" s="12" t="str">
        <x:f>'Weekly Projections'!A151</x:f>
        <x:v>Marvin Harrison Jr.</x:v>
      </x:c>
      <x:c r="C141" s="12" t="str">
        <x:f>'Weekly Projections'!B151</x:f>
        <x:v>ARI</x:v>
      </x:c>
      <x:c r="D141" s="12" t="str">
        <x:f>'Weekly Projections'!C151</x:f>
        <x:v>WR</x:v>
      </x:c>
      <x:c r="E141" s="12" t="n">
        <x:f>'Weekly Projections'!BA151</x:f>
        <x:v>2</x:v>
      </x:c>
      <x:c r="F141" s="17" t="n">
        <x:f>'Weekly Projections'!AW151</x:f>
        <x:v>10.102260869565217</x:v>
      </x:c>
    </x:row>
    <x:row r="142">
      <x:c r="A142" s="12" t="n">
        <x:f>'Weekly Projections'!BB162</x:f>
        <x:v>19</x:v>
      </x:c>
      <x:c r="B142" s="12" t="str">
        <x:f>'Weekly Projections'!A162</x:f>
        <x:v>Matthew Golden</x:v>
      </x:c>
      <x:c r="C142" s="12" t="str">
        <x:f>'Weekly Projections'!B162</x:f>
        <x:v>GB</x:v>
      </x:c>
      <x:c r="D142" s="12" t="str">
        <x:f>'Weekly Projections'!C162</x:f>
        <x:v>WR</x:v>
      </x:c>
      <x:c r="E142" s="12" t="n">
        <x:f>'Weekly Projections'!BA162</x:f>
        <x:v>3</x:v>
      </x:c>
      <x:c r="F142" s="17" t="n">
        <x:f>'Weekly Projections'!AW162</x:f>
        <x:v>9.875420289855072</x:v>
      </x:c>
    </x:row>
    <x:row r="143">
      <x:c r="A143" s="12" t="n">
        <x:f>'Weekly Projections'!BB154</x:f>
        <x:v>20</x:v>
      </x:c>
      <x:c r="B143" s="12" t="str">
        <x:f>'Weekly Projections'!A154</x:f>
        <x:v>Tetairoa McMillan</x:v>
      </x:c>
      <x:c r="C143" s="12" t="str">
        <x:f>'Weekly Projections'!B154</x:f>
        <x:v>CAR</x:v>
      </x:c>
      <x:c r="D143" s="12" t="str">
        <x:f>'Weekly Projections'!C154</x:f>
        <x:v>WR</x:v>
      </x:c>
      <x:c r="E143" s="12" t="n">
        <x:f>'Weekly Projections'!BA154</x:f>
        <x:v>2</x:v>
      </x:c>
      <x:c r="F143" s="17" t="n">
        <x:f>'Weekly Projections'!AW154</x:f>
        <x:v>9.8384</x:v>
      </x:c>
    </x:row>
    <x:row r="144">
      <x:c r="A144" s="12" t="n">
        <x:f>'Weekly Projections'!BB158</x:f>
        <x:v>21</x:v>
      </x:c>
      <x:c r="B144" s="12" t="str">
        <x:f>'Weekly Projections'!A158</x:f>
        <x:v>Terry McLaurin</x:v>
      </x:c>
      <x:c r="C144" s="12" t="str">
        <x:f>'Weekly Projections'!B158</x:f>
        <x:v>WAS</x:v>
      </x:c>
      <x:c r="D144" s="12" t="str">
        <x:f>'Weekly Projections'!C158</x:f>
        <x:v>WR</x:v>
      </x:c>
      <x:c r="E144" s="12" t="n">
        <x:f>'Weekly Projections'!BA158</x:f>
        <x:v>2</x:v>
      </x:c>
      <x:c r="F144" s="17" t="n">
        <x:f>'Weekly Projections'!AW158</x:f>
        <x:v>9.324989565217392</x:v>
      </x:c>
    </x:row>
    <x:row r="145">
      <x:c r="A145" s="12" t="n">
        <x:f>'Weekly Projections'!BB159</x:f>
        <x:v>22</x:v>
      </x:c>
      <x:c r="B145" s="12" t="str">
        <x:f>'Weekly Projections'!A159</x:f>
        <x:v>DK Metcalf</x:v>
      </x:c>
      <x:c r="C145" s="12" t="str">
        <x:f>'Weekly Projections'!B159</x:f>
        <x:v>PIT</x:v>
      </x:c>
      <x:c r="D145" s="12" t="str">
        <x:f>'Weekly Projections'!C159</x:f>
        <x:v>WR</x:v>
      </x:c>
      <x:c r="E145" s="12" t="n">
        <x:f>'Weekly Projections'!BA159</x:f>
        <x:v>3</x:v>
      </x:c>
      <x:c r="F145" s="17" t="n">
        <x:f>'Weekly Projections'!AW159</x:f>
        <x:v>9.227217391304348</x:v>
      </x:c>
    </x:row>
    <x:row r="146">
      <x:c r="A146" s="12" t="n">
        <x:f>'Weekly Projections'!BB160</x:f>
        <x:v>23</x:v>
      </x:c>
      <x:c r="B146" s="12" t="str">
        <x:f>'Weekly Projections'!A160</x:f>
        <x:v>Jaylen Waddle</x:v>
      </x:c>
      <x:c r="C146" s="12" t="str">
        <x:f>'Weekly Projections'!B160</x:f>
        <x:v>DEN</x:v>
      </x:c>
      <x:c r="D146" s="12" t="str">
        <x:f>'Weekly Projections'!C160</x:f>
        <x:v>WR</x:v>
      </x:c>
      <x:c r="E146" s="12" t="n">
        <x:f>'Weekly Projections'!BA160</x:f>
        <x:v>3</x:v>
      </x:c>
      <x:c r="F146" s="17" t="n">
        <x:f>'Weekly Projections'!AW160</x:f>
        <x:v>9.154434782608698</x:v>
      </x:c>
    </x:row>
    <x:row r="147">
      <x:c r="A147" s="12" t="n">
        <x:f>'Weekly Projections'!BB161</x:f>
        <x:v>24</x:v>
      </x:c>
      <x:c r="B147" s="12" t="str">
        <x:f>'Weekly Projections'!A161</x:f>
        <x:v>Mike Evans</x:v>
      </x:c>
      <x:c r="C147" s="12" t="str">
        <x:f>'Weekly Projections'!B161</x:f>
        <x:v>SF</x:v>
      </x:c>
      <x:c r="D147" s="12" t="str">
        <x:f>'Weekly Projections'!C161</x:f>
        <x:v>WR</x:v>
      </x:c>
      <x:c r="E147" s="12" t="n">
        <x:f>'Weekly Projections'!BA161</x:f>
        <x:v>3</x:v>
      </x:c>
      <x:c r="F147" s="17" t="n">
        <x:f>'Weekly Projections'!AW161</x:f>
        <x:v>9.140869565217391</x:v>
      </x:c>
    </x:row>
    <x:row r="148">
      <x:c r="A148" s="12" t="n">
        <x:f>'Weekly Projections'!BB163</x:f>
        <x:v>25</x:v>
      </x:c>
      <x:c r="B148" s="12" t="str">
        <x:f>'Weekly Projections'!A163</x:f>
        <x:v>Ladd McConkey</x:v>
      </x:c>
      <x:c r="C148" s="12" t="str">
        <x:f>'Weekly Projections'!B163</x:f>
        <x:v>LAC</x:v>
      </x:c>
      <x:c r="D148" s="12" t="str">
        <x:f>'Weekly Projections'!C163</x:f>
        <x:v>WR</x:v>
      </x:c>
      <x:c r="E148" s="12" t="n">
        <x:f>'Weekly Projections'!BA163</x:f>
        <x:v>3</x:v>
      </x:c>
      <x:c r="F148" s="17" t="n">
        <x:f>'Weekly Projections'!AW163</x:f>
        <x:v>8.964849855072465</x:v>
      </x:c>
    </x:row>
    <x:row r="149">
      <x:c r="A149" s="12" t="n">
        <x:f>'Weekly Projections'!BB164</x:f>
        <x:v>26</x:v>
      </x:c>
      <x:c r="B149" s="12" t="str">
        <x:f>'Weekly Projections'!A164</x:f>
        <x:v>Courtland Sutton</x:v>
      </x:c>
      <x:c r="C149" s="12" t="str">
        <x:f>'Weekly Projections'!B164</x:f>
        <x:v>DEN</x:v>
      </x:c>
      <x:c r="D149" s="12" t="str">
        <x:f>'Weekly Projections'!C164</x:f>
        <x:v>WR</x:v>
      </x:c>
      <x:c r="E149" s="12" t="n">
        <x:f>'Weekly Projections'!BA164</x:f>
        <x:v>3</x:v>
      </x:c>
      <x:c r="F149" s="17" t="n">
        <x:f>'Weekly Projections'!AW164</x:f>
        <x:v>8.957565217391306</x:v>
      </x:c>
    </x:row>
    <x:row r="150">
      <x:c r="A150" s="12" t="n">
        <x:f>'Weekly Projections'!BB165</x:f>
        <x:v>27</x:v>
      </x:c>
      <x:c r="B150" s="12" t="str">
        <x:f>'Weekly Projections'!A165</x:f>
        <x:v>Wan'Dale Robinson</x:v>
      </x:c>
      <x:c r="C150" s="12" t="str">
        <x:f>'Weekly Projections'!B165</x:f>
        <x:v>TEN</x:v>
      </x:c>
      <x:c r="D150" s="12" t="str">
        <x:f>'Weekly Projections'!C165</x:f>
        <x:v>WR</x:v>
      </x:c>
      <x:c r="E150" s="12" t="n">
        <x:f>'Weekly Projections'!BA165</x:f>
        <x:v>3</x:v>
      </x:c>
      <x:c r="F150" s="17" t="n">
        <x:f>'Weekly Projections'!AW165</x:f>
        <x:v>8.921113043478261</x:v>
      </x:c>
    </x:row>
    <x:row r="151">
      <x:c r="A151" s="12" t="n">
        <x:f>'Weekly Projections'!BB166</x:f>
        <x:v>28</x:v>
      </x:c>
      <x:c r="B151" s="12" t="str">
        <x:f>'Weekly Projections'!A166</x:f>
        <x:v>Parker Washington</x:v>
      </x:c>
      <x:c r="C151" s="12" t="str">
        <x:f>'Weekly Projections'!B166</x:f>
        <x:v>JAC</x:v>
      </x:c>
      <x:c r="D151" s="12" t="str">
        <x:f>'Weekly Projections'!C166</x:f>
        <x:v>WR</x:v>
      </x:c>
      <x:c r="E151" s="12" t="n">
        <x:f>'Weekly Projections'!BA166</x:f>
        <x:v>3</x:v>
      </x:c>
      <x:c r="F151" s="17" t="n">
        <x:f>'Weekly Projections'!AW166</x:f>
        <x:v>8.73113043478261</x:v>
      </x:c>
    </x:row>
    <x:row r="152">
      <x:c r="A152" s="12" t="n">
        <x:f>'Weekly Projections'!BB155</x:f>
        <x:v>29</x:v>
      </x:c>
      <x:c r="B152" s="12" t="str">
        <x:f>'Weekly Projections'!A155</x:f>
        <x:v>Malik Nabers</x:v>
      </x:c>
      <x:c r="C152" s="12" t="str">
        <x:f>'Weekly Projections'!B155</x:f>
        <x:v>NYG</x:v>
      </x:c>
      <x:c r="D152" s="12" t="str">
        <x:f>'Weekly Projections'!C155</x:f>
        <x:v>WR</x:v>
      </x:c>
      <x:c r="E152" s="12" t="n">
        <x:f>'Weekly Projections'!BA155</x:f>
        <x:v>2</x:v>
      </x:c>
      <x:c r="F152" s="17" t="n">
        <x:f>'Weekly Projections'!AW155</x:f>
        <x:v>8.70413843478261</x:v>
      </x:c>
    </x:row>
    <x:row r="153">
      <x:c r="A153" s="12" t="n">
        <x:f>'Weekly Projections'!BB147</x:f>
        <x:v>30</x:v>
      </x:c>
      <x:c r="B153" s="12" t="str">
        <x:f>'Weekly Projections'!A147</x:f>
        <x:v>Rome Odunze</x:v>
      </x:c>
      <x:c r="C153" s="12" t="str">
        <x:f>'Weekly Projections'!B147</x:f>
        <x:v>CHI</x:v>
      </x:c>
      <x:c r="D153" s="12" t="str">
        <x:f>'Weekly Projections'!C147</x:f>
        <x:v>WR</x:v>
      </x:c>
      <x:c r="E153" s="12" t="n">
        <x:f>'Weekly Projections'!BA147</x:f>
        <x:v>2</x:v>
      </x:c>
      <x:c r="F153" s="17" t="n">
        <x:f>'Weekly Projections'!AW147</x:f>
        <x:v>8.542277101449276</x:v>
      </x:c>
    </x:row>
    <x:row r="154">
      <x:c r="A154" s="12" t="n">
        <x:f>'Weekly Projections'!BB167</x:f>
        <x:v>31</x:v>
      </x:c>
      <x:c r="B154" s="12" t="str">
        <x:f>'Weekly Projections'!A167</x:f>
        <x:v>Brian Thomas Jr.</x:v>
      </x:c>
      <x:c r="C154" s="12" t="str">
        <x:f>'Weekly Projections'!B167</x:f>
        <x:v>JAC</x:v>
      </x:c>
      <x:c r="D154" s="12" t="str">
        <x:f>'Weekly Projections'!C167</x:f>
        <x:v>WR</x:v>
      </x:c>
      <x:c r="E154" s="12" t="n">
        <x:f>'Weekly Projections'!BA167</x:f>
        <x:v>3</x:v>
      </x:c>
      <x:c r="F154" s="17" t="n">
        <x:f>'Weekly Projections'!AW167</x:f>
        <x:v>8.433478260869565</x:v>
      </x:c>
    </x:row>
    <x:row r="155">
      <x:c r="A155" s="12" t="n">
        <x:f>'Weekly Projections'!BB168</x:f>
        <x:v>32</x:v>
      </x:c>
      <x:c r="B155" s="12" t="str">
        <x:f>'Weekly Projections'!A168</x:f>
        <x:v>Michael Pittman Jr.</x:v>
      </x:c>
      <x:c r="C155" s="12" t="str">
        <x:f>'Weekly Projections'!B168</x:f>
        <x:v>PIT</x:v>
      </x:c>
      <x:c r="D155" s="12" t="str">
        <x:f>'Weekly Projections'!C168</x:f>
        <x:v>WR</x:v>
      </x:c>
      <x:c r="E155" s="12" t="n">
        <x:f>'Weekly Projections'!BA168</x:f>
        <x:v>3</x:v>
      </x:c>
      <x:c r="F155" s="17" t="n">
        <x:f>'Weekly Projections'!AW168</x:f>
        <x:v>8.300923826086958</x:v>
      </x:c>
    </x:row>
    <x:row r="156">
      <x:c r="A156" s="12" t="n">
        <x:f>'Weekly Projections'!BB169</x:f>
        <x:v>33</x:v>
      </x:c>
      <x:c r="B156" s="12" t="str">
        <x:f>'Weekly Projections'!A169</x:f>
        <x:v>Michael Wilson</x:v>
      </x:c>
      <x:c r="C156" s="12" t="str">
        <x:f>'Weekly Projections'!B169</x:f>
        <x:v>ARI</x:v>
      </x:c>
      <x:c r="D156" s="12" t="str">
        <x:f>'Weekly Projections'!C169</x:f>
        <x:v>WR</x:v>
      </x:c>
      <x:c r="E156" s="12" t="n">
        <x:f>'Weekly Projections'!BA169</x:f>
        <x:v>3</x:v>
      </x:c>
      <x:c r="F156" s="17" t="n">
        <x:f>'Weekly Projections'!AW169</x:f>
        <x:v>8.196173913043479</x:v>
      </x:c>
    </x:row>
    <x:row r="157">
      <x:c r="A157" s="12" t="n">
        <x:f>'Weekly Projections'!BB171</x:f>
        <x:v>34</x:v>
      </x:c>
      <x:c r="B157" s="12" t="str">
        <x:f>'Weekly Projections'!A171</x:f>
        <x:v>Jordan Addison</x:v>
      </x:c>
      <x:c r="C157" s="12" t="str">
        <x:f>'Weekly Projections'!B171</x:f>
        <x:v>MIN</x:v>
      </x:c>
      <x:c r="D157" s="12" t="str">
        <x:f>'Weekly Projections'!C171</x:f>
        <x:v>WR</x:v>
      </x:c>
      <x:c r="E157" s="12" t="n">
        <x:f>'Weekly Projections'!BA171</x:f>
        <x:v>4</x:v>
      </x:c>
      <x:c r="F157" s="17" t="n">
        <x:f>'Weekly Projections'!AW171</x:f>
        <x:v>7.799389565217392</x:v>
      </x:c>
    </x:row>
    <x:row r="158">
      <x:c r="A158" s="12" t="n">
        <x:f>'Weekly Projections'!BB172</x:f>
        <x:v>35</x:v>
      </x:c>
      <x:c r="B158" s="12" t="str">
        <x:f>'Weekly Projections'!A172</x:f>
        <x:v>Xavier Worthy</x:v>
      </x:c>
      <x:c r="C158" s="12" t="str">
        <x:f>'Weekly Projections'!B172</x:f>
        <x:v>KC</x:v>
      </x:c>
      <x:c r="D158" s="12" t="str">
        <x:f>'Weekly Projections'!C172</x:f>
        <x:v>WR</x:v>
      </x:c>
      <x:c r="E158" s="12" t="n">
        <x:f>'Weekly Projections'!BA172</x:f>
        <x:v>4</x:v>
      </x:c>
      <x:c r="F158" s="17" t="n">
        <x:f>'Weekly Projections'!AW172</x:f>
        <x:v>7.543158260869568</x:v>
      </x:c>
    </x:row>
    <x:row r="159">
      <x:c r="A159" s="12" t="n">
        <x:f>'Weekly Projections'!BB173</x:f>
        <x:v>36</x:v>
      </x:c>
      <x:c r="B159" s="12" t="str">
        <x:f>'Weekly Projections'!A173</x:f>
        <x:v>Zay Flowers</x:v>
      </x:c>
      <x:c r="C159" s="12" t="str">
        <x:f>'Weekly Projections'!B173</x:f>
        <x:v>BAL</x:v>
      </x:c>
      <x:c r="D159" s="12" t="str">
        <x:f>'Weekly Projections'!C173</x:f>
        <x:v>WR</x:v>
      </x:c>
      <x:c r="E159" s="12" t="n">
        <x:f>'Weekly Projections'!BA173</x:f>
        <x:v>4</x:v>
      </x:c>
      <x:c r="F159" s="17" t="n">
        <x:f>'Weekly Projections'!AW173</x:f>
        <x:v>7.4424672</x:v>
      </x:c>
    </x:row>
    <x:row r="160">
      <x:c r="A160" s="12" t="n">
        <x:f>'Weekly Projections'!BB156</x:f>
        <x:v>37</x:v>
      </x:c>
      <x:c r="B160" s="12" t="str">
        <x:f>'Weekly Projections'!A156</x:f>
        <x:v>Luther Burden III</x:v>
      </x:c>
      <x:c r="C160" s="12" t="str">
        <x:f>'Weekly Projections'!B156</x:f>
        <x:v>CHI</x:v>
      </x:c>
      <x:c r="D160" s="12" t="str">
        <x:f>'Weekly Projections'!C156</x:f>
        <x:v>WR</x:v>
      </x:c>
      <x:c r="E160" s="12" t="n">
        <x:f>'Weekly Projections'!BA156</x:f>
        <x:v>2</x:v>
      </x:c>
      <x:c r="F160" s="17" t="n">
        <x:f>'Weekly Projections'!AW156</x:f>
        <x:v>7.331351884057971</x:v>
      </x:c>
    </x:row>
    <x:row r="161">
      <x:c r="A161" s="12" t="n">
        <x:f>'Weekly Projections'!BB174</x:f>
        <x:v>38</x:v>
      </x:c>
      <x:c r="B161" s="12" t="str">
        <x:f>'Weekly Projections'!A174</x:f>
        <x:v>Tre Tucker</x:v>
      </x:c>
      <x:c r="C161" s="12" t="str">
        <x:f>'Weekly Projections'!B174</x:f>
        <x:v>LV</x:v>
      </x:c>
      <x:c r="D161" s="12" t="str">
        <x:f>'Weekly Projections'!C174</x:f>
        <x:v>WR</x:v>
      </x:c>
      <x:c r="E161" s="12" t="n">
        <x:f>'Weekly Projections'!BA174</x:f>
        <x:v>4</x:v>
      </x:c>
      <x:c r="F161" s="17" t="n">
        <x:f>'Weekly Projections'!AW174</x:f>
        <x:v>6.997808695652175</x:v>
      </x:c>
    </x:row>
    <x:row r="162">
      <x:c r="A162" s="12" t="n">
        <x:f>'Weekly Projections'!BB175</x:f>
        <x:v>39</x:v>
      </x:c>
      <x:c r="B162" s="12" t="str">
        <x:f>'Weekly Projections'!A175</x:f>
        <x:v>Stefon Diggs</x:v>
      </x:c>
      <x:c r="C162" s="12" t="str">
        <x:f>'Weekly Projections'!B175</x:f>
        <x:v>WAS</x:v>
      </x:c>
      <x:c r="D162" s="12" t="str">
        <x:f>'Weekly Projections'!C175</x:f>
        <x:v>WR</x:v>
      </x:c>
      <x:c r="E162" s="12" t="n">
        <x:f>'Weekly Projections'!BA175</x:f>
        <x:v>4</x:v>
      </x:c>
      <x:c r="F162" s="17" t="n">
        <x:f>'Weekly Projections'!AW175</x:f>
        <x:v>6.825507826086957</x:v>
      </x:c>
    </x:row>
    <x:row r="163">
      <x:c r="A163" s="12" t="n">
        <x:f>'Weekly Projections'!BB176</x:f>
        <x:v>40</x:v>
      </x:c>
      <x:c r="B163" s="12" t="str">
        <x:f>'Weekly Projections'!A176</x:f>
        <x:v>Jakobi Meyers</x:v>
      </x:c>
      <x:c r="C163" s="12" t="str">
        <x:f>'Weekly Projections'!B176</x:f>
        <x:v>JAC</x:v>
      </x:c>
      <x:c r="D163" s="12" t="str">
        <x:f>'Weekly Projections'!C176</x:f>
        <x:v>WR</x:v>
      </x:c>
      <x:c r="E163" s="12" t="n">
        <x:f>'Weekly Projections'!BA176</x:f>
        <x:v>4</x:v>
      </x:c>
      <x:c r="F163" s="17" t="n">
        <x:f>'Weekly Projections'!AW176</x:f>
        <x:v>6.746782608695653</x:v>
      </x:c>
    </x:row>
    <x:row r="164">
      <x:c r="A164" s="12" t="n">
        <x:f>'Weekly Projections'!BB177</x:f>
        <x:v>41</x:v>
      </x:c>
      <x:c r="B164" s="12" t="str">
        <x:f>'Weekly Projections'!A177</x:f>
        <x:v>Quentin Johnston</x:v>
      </x:c>
      <x:c r="C164" s="12" t="str">
        <x:f>'Weekly Projections'!B177</x:f>
        <x:v>LAC</x:v>
      </x:c>
      <x:c r="D164" s="12" t="str">
        <x:f>'Weekly Projections'!C177</x:f>
        <x:v>WR</x:v>
      </x:c>
      <x:c r="E164" s="12" t="n">
        <x:f>'Weekly Projections'!BA177</x:f>
        <x:v>4</x:v>
      </x:c>
      <x:c r="F164" s="17" t="n">
        <x:f>'Weekly Projections'!AW177</x:f>
        <x:v>6.735840000000001</x:v>
      </x:c>
    </x:row>
    <x:row r="165">
      <x:c r="A165" s="12" t="n">
        <x:f>'Weekly Projections'!BB178</x:f>
        <x:v>42</x:v>
      </x:c>
      <x:c r="B165" s="12" t="str">
        <x:f>'Weekly Projections'!A178</x:f>
        <x:v>Josh Downs</x:v>
      </x:c>
      <x:c r="C165" s="12" t="str">
        <x:f>'Weekly Projections'!B178</x:f>
        <x:v>IND</x:v>
      </x:c>
      <x:c r="D165" s="12" t="str">
        <x:f>'Weekly Projections'!C178</x:f>
        <x:v>WR</x:v>
      </x:c>
      <x:c r="E165" s="12" t="n">
        <x:f>'Weekly Projections'!BA178</x:f>
        <x:v>4</x:v>
      </x:c>
      <x:c r="F165" s="17" t="n">
        <x:f>'Weekly Projections'!AW178</x:f>
        <x:v>6.72608695652174</x:v>
      </x:c>
    </x:row>
    <x:row r="166">
      <x:c r="A166" s="12" t="n">
        <x:f>'Weekly Projections'!BB179</x:f>
        <x:v>43</x:v>
      </x:c>
      <x:c r="B166" s="12" t="str">
        <x:f>'Weekly Projections'!A179</x:f>
        <x:v>Adonai Mitchell</x:v>
      </x:c>
      <x:c r="C166" s="12" t="str">
        <x:f>'Weekly Projections'!B179</x:f>
        <x:v>NYJ</x:v>
      </x:c>
      <x:c r="D166" s="12" t="str">
        <x:f>'Weekly Projections'!C179</x:f>
        <x:v>WR</x:v>
      </x:c>
      <x:c r="E166" s="12" t="n">
        <x:f>'Weekly Projections'!BA179</x:f>
        <x:v>4</x:v>
      </x:c>
      <x:c r="F166" s="17" t="n">
        <x:f>'Weekly Projections'!AW179</x:f>
        <x:v>6.645453913043477</x:v>
      </x:c>
    </x:row>
    <x:row r="167">
      <x:c r="A167" s="12" t="n">
        <x:f>'Weekly Projections'!BB180</x:f>
        <x:v>44</x:v>
      </x:c>
      <x:c r="B167" s="12" t="str">
        <x:f>'Weekly Projections'!A180</x:f>
        <x:v>Rashid Shaheed</x:v>
      </x:c>
      <x:c r="C167" s="12" t="str">
        <x:f>'Weekly Projections'!B180</x:f>
        <x:v>SEA</x:v>
      </x:c>
      <x:c r="D167" s="12" t="str">
        <x:f>'Weekly Projections'!C180</x:f>
        <x:v>WR</x:v>
      </x:c>
      <x:c r="E167" s="12" t="n">
        <x:f>'Weekly Projections'!BA180</x:f>
        <x:v>4</x:v>
      </x:c>
      <x:c r="F167" s="17" t="n">
        <x:f>'Weekly Projections'!AW180</x:f>
        <x:v>6.550260869565219</x:v>
      </x:c>
    </x:row>
    <x:row r="168">
      <x:c r="A168" s="12" t="n">
        <x:f>'Weekly Projections'!BB181</x:f>
        <x:v>45</x:v>
      </x:c>
      <x:c r="B168" s="12" t="str">
        <x:f>'Weekly Projections'!A181</x:f>
        <x:v>Jerry Jeudy</x:v>
      </x:c>
      <x:c r="C168" s="12" t="str">
        <x:f>'Weekly Projections'!B181</x:f>
        <x:v>CLE</x:v>
      </x:c>
      <x:c r="D168" s="12" t="str">
        <x:f>'Weekly Projections'!C181</x:f>
        <x:v>WR</x:v>
      </x:c>
      <x:c r="E168" s="12" t="n">
        <x:f>'Weekly Projections'!BA181</x:f>
        <x:v>4</x:v>
      </x:c>
      <x:c r="F168" s="17" t="n">
        <x:f>'Weekly Projections'!AW181</x:f>
        <x:v>6.343387826086957</x:v>
      </x:c>
    </x:row>
    <x:row r="169">
      <x:c r="A169" s="12" t="n">
        <x:f>'Weekly Projections'!BB182</x:f>
        <x:v>46</x:v>
      </x:c>
      <x:c r="B169" s="12" t="str">
        <x:f>'Weekly Projections'!A182</x:f>
        <x:v>Chris Godwin Jr.</x:v>
      </x:c>
      <x:c r="C169" s="12" t="str">
        <x:f>'Weekly Projections'!B182</x:f>
        <x:v>TB</x:v>
      </x:c>
      <x:c r="D169" s="12" t="str">
        <x:f>'Weekly Projections'!C182</x:f>
        <x:v>WR</x:v>
      </x:c>
      <x:c r="E169" s="12" t="n">
        <x:f>'Weekly Projections'!BA182</x:f>
        <x:v>4</x:v>
      </x:c>
      <x:c r="F169" s="17" t="n">
        <x:f>'Weekly Projections'!AW182</x:f>
        <x:v>6.249709565217392</x:v>
      </x:c>
    </x:row>
    <x:row r="170">
      <x:c r="A170" s="12" t="n">
        <x:f>'Weekly Projections'!BB183</x:f>
        <x:v>47</x:v>
      </x:c>
      <x:c r="B170" s="12" t="str">
        <x:f>'Weekly Projections'!A183</x:f>
        <x:v>Carnell Tate</x:v>
      </x:c>
      <x:c r="C170" s="12" t="str">
        <x:f>'Weekly Projections'!B183</x:f>
        <x:v>TEN</x:v>
      </x:c>
      <x:c r="D170" s="12" t="str">
        <x:f>'Weekly Projections'!C183</x:f>
        <x:v>WR</x:v>
      </x:c>
      <x:c r="E170" s="12" t="n">
        <x:f>'Weekly Projections'!BA183</x:f>
        <x:v>5</x:v>
      </x:c>
      <x:c r="F170" s="17" t="n">
        <x:f>'Weekly Projections'!AW183</x:f>
        <x:v>6.244779130434782</x:v>
      </x:c>
    </x:row>
    <x:row r="171">
      <x:c r="A171" s="12" t="n">
        <x:f>'Weekly Projections'!BB184</x:f>
        <x:v>48</x:v>
      </x:c>
      <x:c r="B171" s="12" t="str">
        <x:f>'Weekly Projections'!A184</x:f>
        <x:v>Deebo Samuel Sr.</x:v>
      </x:c>
      <x:c r="C171" s="12" t="str">
        <x:f>'Weekly Projections'!B184</x:f>
        <x:v>SF</x:v>
      </x:c>
      <x:c r="D171" s="12" t="str">
        <x:f>'Weekly Projections'!C184</x:f>
        <x:v>WR</x:v>
      </x:c>
      <x:c r="E171" s="12" t="n">
        <x:f>'Weekly Projections'!BA184</x:f>
        <x:v>5</x:v>
      </x:c>
      <x:c r="F171" s="17" t="n">
        <x:f>'Weekly Projections'!AW184</x:f>
        <x:v>6.09391304347826</x:v>
      </x:c>
    </x:row>
    <x:row r="172">
      <x:c r="A172" s="12" t="n">
        <x:f>'Weekly Projections'!BB185</x:f>
        <x:v>49</x:v>
      </x:c>
      <x:c r="B172" s="12" t="str">
        <x:f>'Weekly Projections'!A185</x:f>
        <x:v>Khalil Shakir</x:v>
      </x:c>
      <x:c r="C172" s="12" t="str">
        <x:f>'Weekly Projections'!B185</x:f>
        <x:v>BUF</x:v>
      </x:c>
      <x:c r="D172" s="12" t="str">
        <x:f>'Weekly Projections'!C185</x:f>
        <x:v>WR</x:v>
      </x:c>
      <x:c r="E172" s="12" t="n">
        <x:f>'Weekly Projections'!BA185</x:f>
        <x:v>5</x:v>
      </x:c>
      <x:c r="F172" s="17" t="n">
        <x:f>'Weekly Projections'!AW185</x:f>
        <x:v>6.090156521739131</x:v>
      </x:c>
    </x:row>
    <x:row r="173">
      <x:c r="A173" s="12" t="n">
        <x:f>'Weekly Projections'!BB187</x:f>
        <x:v>50</x:v>
      </x:c>
      <x:c r="B173" s="12" t="str">
        <x:f>'Weekly Projections'!A187</x:f>
        <x:v>Tre' Harris</x:v>
      </x:c>
      <x:c r="C173" s="12" t="str">
        <x:f>'Weekly Projections'!B187</x:f>
        <x:v>LAC</x:v>
      </x:c>
      <x:c r="D173" s="12" t="str">
        <x:f>'Weekly Projections'!C187</x:f>
        <x:v>WR</x:v>
      </x:c>
      <x:c r="E173" s="12" t="n">
        <x:f>'Weekly Projections'!BA187</x:f>
        <x:v>5</x:v>
      </x:c>
      <x:c r="F173" s="17" t="n">
        <x:f>'Weekly Projections'!AW187</x:f>
        <x:v>6.052493913043478</x:v>
      </x:c>
    </x:row>
    <x:row r="174">
      <x:c r="A174" s="12" t="n">
        <x:f>'Weekly Projections'!BB188</x:f>
        <x:v>51</x:v>
      </x:c>
      <x:c r="B174" s="12" t="str">
        <x:f>'Weekly Projections'!A188</x:f>
        <x:v>Devaughn Vele</x:v>
      </x:c>
      <x:c r="C174" s="12" t="str">
        <x:f>'Weekly Projections'!B188</x:f>
        <x:v>NO</x:v>
      </x:c>
      <x:c r="D174" s="12" t="str">
        <x:f>'Weekly Projections'!C188</x:f>
        <x:v>WR</x:v>
      </x:c>
      <x:c r="E174" s="12" t="n">
        <x:f>'Weekly Projections'!BA188</x:f>
        <x:v>5</x:v>
      </x:c>
      <x:c r="F174" s="17" t="n">
        <x:f>'Weekly Projections'!AW188</x:f>
        <x:v>6.052260869565217</x:v>
      </x:c>
    </x:row>
    <x:row r="175">
      <x:c r="A175" s="12" t="n">
        <x:f>'Weekly Projections'!BB189</x:f>
        <x:v>52</x:v>
      </x:c>
      <x:c r="B175" s="12" t="str">
        <x:f>'Weekly Projections'!A189</x:f>
        <x:v>Denzel Boston</x:v>
      </x:c>
      <x:c r="C175" s="12" t="str">
        <x:f>'Weekly Projections'!B189</x:f>
        <x:v>CLE</x:v>
      </x:c>
      <x:c r="D175" s="12" t="str">
        <x:f>'Weekly Projections'!C189</x:f>
        <x:v>WR</x:v>
      </x:c>
      <x:c r="E175" s="12" t="n">
        <x:f>'Weekly Projections'!BA189</x:f>
        <x:v>5</x:v>
      </x:c>
      <x:c r="F175" s="17" t="n">
        <x:f>'Weekly Projections'!AW189</x:f>
        <x:v>6.041321739130433</x:v>
      </x:c>
    </x:row>
    <x:row r="176">
      <x:c r="A176" s="12" t="n">
        <x:f>'Weekly Projections'!BB191</x:f>
        <x:v>53</x:v>
      </x:c>
      <x:c r="B176" s="12" t="str">
        <x:f>'Weekly Projections'!A191</x:f>
        <x:v>Chris Bell</x:v>
      </x:c>
      <x:c r="C176" s="12" t="str">
        <x:f>'Weekly Projections'!B191</x:f>
        <x:v>MIA</x:v>
      </x:c>
      <x:c r="D176" s="12" t="str">
        <x:f>'Weekly Projections'!C191</x:f>
        <x:v>WR</x:v>
      </x:c>
      <x:c r="E176" s="12" t="n">
        <x:f>'Weekly Projections'!BA191</x:f>
        <x:v>5</x:v>
      </x:c>
      <x:c r="F176" s="17" t="n">
        <x:f>'Weekly Projections'!AW191</x:f>
        <x:v>5.912960869565218</x:v>
      </x:c>
    </x:row>
    <x:row r="177">
      <x:c r="A177" s="12" t="n">
        <x:f>'Weekly Projections'!BB192</x:f>
        <x:v>54</x:v>
      </x:c>
      <x:c r="B177" s="12" t="str">
        <x:f>'Weekly Projections'!A192</x:f>
        <x:v>Rashod Bateman</x:v>
      </x:c>
      <x:c r="C177" s="12" t="str">
        <x:f>'Weekly Projections'!B192</x:f>
        <x:v>BAL</x:v>
      </x:c>
      <x:c r="D177" s="12" t="str">
        <x:f>'Weekly Projections'!C192</x:f>
        <x:v>WR</x:v>
      </x:c>
      <x:c r="E177" s="12" t="n">
        <x:f>'Weekly Projections'!BA192</x:f>
        <x:v>5</x:v>
      </x:c>
      <x:c r="F177" s="17" t="n">
        <x:f>'Weekly Projections'!AW192</x:f>
        <x:v>5.865983999999999</x:v>
      </x:c>
    </x:row>
    <x:row r="178">
      <x:c r="A178" s="12" t="n">
        <x:f>'Weekly Projections'!BB193</x:f>
        <x:v>55</x:v>
      </x:c>
      <x:c r="B178" s="12" t="str">
        <x:f>'Weekly Projections'!A193</x:f>
        <x:v>Calvin Ridley</x:v>
      </x:c>
      <x:c r="C178" s="12" t="str">
        <x:f>'Weekly Projections'!B193</x:f>
        <x:v>TEN</x:v>
      </x:c>
      <x:c r="D178" s="12" t="str">
        <x:f>'Weekly Projections'!C193</x:f>
        <x:v>WR</x:v>
      </x:c>
      <x:c r="E178" s="12" t="n">
        <x:f>'Weekly Projections'!BA193</x:f>
        <x:v>5</x:v>
      </x:c>
      <x:c r="F178" s="17" t="n">
        <x:f>'Weekly Projections'!AW193</x:f>
        <x:v>5.749161739130434</x:v>
      </x:c>
    </x:row>
    <x:row r="179">
      <x:c r="A179" s="12" t="n">
        <x:f>'Weekly Projections'!BB194</x:f>
        <x:v>56</x:v>
      </x:c>
      <x:c r="B179" s="12" t="str">
        <x:f>'Weekly Projections'!A194</x:f>
        <x:v>Pat Bryant</x:v>
      </x:c>
      <x:c r="C179" s="12" t="str">
        <x:f>'Weekly Projections'!B194</x:f>
        <x:v>DEN</x:v>
      </x:c>
      <x:c r="D179" s="12" t="str">
        <x:f>'Weekly Projections'!C194</x:f>
        <x:v>WR</x:v>
      </x:c>
      <x:c r="E179" s="12" t="n">
        <x:f>'Weekly Projections'!BA194</x:f>
        <x:v>5</x:v>
      </x:c>
      <x:c r="F179" s="17" t="n">
        <x:f>'Weekly Projections'!AW194</x:f>
        <x:v>5.709217391304348</x:v>
      </x:c>
    </x:row>
    <x:row r="180">
      <x:c r="A180" s="12" t="n">
        <x:f>'Weekly Projections'!BB195</x:f>
        <x:v>57</x:v>
      </x:c>
      <x:c r="B180" s="12" t="str">
        <x:f>'Weekly Projections'!A195</x:f>
        <x:v>Keenan Allen</x:v>
      </x:c>
      <x:c r="C180" s="12" t="str">
        <x:f>'Weekly Projections'!B195</x:f>
        <x:v>IND</x:v>
      </x:c>
      <x:c r="D180" s="12" t="str">
        <x:f>'Weekly Projections'!C195</x:f>
        <x:v>WR</x:v>
      </x:c>
      <x:c r="E180" s="12" t="n">
        <x:f>'Weekly Projections'!BA195</x:f>
        <x:v>6</x:v>
      </x:c>
      <x:c r="F180" s="17" t="n">
        <x:f>'Weekly Projections'!AW195</x:f>
        <x:v>5.669130434782611</x:v>
      </x:c>
    </x:row>
    <x:row r="181">
      <x:c r="A181" s="12" t="n">
        <x:f>'Weekly Projections'!BB196</x:f>
        <x:v>58</x:v>
      </x:c>
      <x:c r="B181" s="12" t="str">
        <x:f>'Weekly Projections'!A196</x:f>
        <x:v>KC Concepcion</x:v>
      </x:c>
      <x:c r="C181" s="12" t="str">
        <x:f>'Weekly Projections'!B196</x:f>
        <x:v>CLE</x:v>
      </x:c>
      <x:c r="D181" s="12" t="str">
        <x:f>'Weekly Projections'!C196</x:f>
        <x:v>WR</x:v>
      </x:c>
      <x:c r="E181" s="12" t="n">
        <x:f>'Weekly Projections'!BA196</x:f>
        <x:v>6</x:v>
      </x:c>
      <x:c r="F181" s="17" t="n">
        <x:f>'Weekly Projections'!AW196</x:f>
        <x:v>5.638566956521739</x:v>
      </x:c>
    </x:row>
    <x:row r="182">
      <x:c r="A182" s="12" t="n">
        <x:f>'Weekly Projections'!BB198</x:f>
        <x:v>59</x:v>
      </x:c>
      <x:c r="B182" s="12" t="str">
        <x:f>'Weekly Projections'!A198</x:f>
        <x:v>Jauan Jennings</x:v>
      </x:c>
      <x:c r="C182" s="12" t="str">
        <x:f>'Weekly Projections'!B198</x:f>
        <x:v>MIN</x:v>
      </x:c>
      <x:c r="D182" s="12" t="str">
        <x:f>'Weekly Projections'!C198</x:f>
        <x:v>WR</x:v>
      </x:c>
      <x:c r="E182" s="12" t="n">
        <x:f>'Weekly Projections'!BA198</x:f>
        <x:v>6</x:v>
      </x:c>
      <x:c r="F182" s="17" t="n">
        <x:f>'Weekly Projections'!AW198</x:f>
        <x:v>5.599561739130435</x:v>
      </x:c>
    </x:row>
    <x:row r="183">
      <x:c r="A183" s="12" t="n">
        <x:f>'Weekly Projections'!BB199</x:f>
        <x:v>60</x:v>
      </x:c>
      <x:c r="B183" s="12" t="str">
        <x:f>'Weekly Projections'!A199</x:f>
        <x:v>Jalen Nailor</x:v>
      </x:c>
      <x:c r="C183" s="12" t="str">
        <x:f>'Weekly Projections'!B199</x:f>
        <x:v>LV</x:v>
      </x:c>
      <x:c r="D183" s="12" t="str">
        <x:f>'Weekly Projections'!C199</x:f>
        <x:v>WR</x:v>
      </x:c>
      <x:c r="E183" s="12" t="n">
        <x:f>'Weekly Projections'!BA199</x:f>
        <x:v>6</x:v>
      </x:c>
      <x:c r="F183" s="17" t="n">
        <x:f>'Weekly Projections'!AW199</x:f>
        <x:v>5.59824695652174</x:v>
      </x:c>
    </x:row>
    <x:row r="184">
      <x:c r="A184" s="12" t="n">
        <x:f>'Weekly Projections'!BB200</x:f>
        <x:v>61</x:v>
      </x:c>
      <x:c r="B184" s="12" t="str">
        <x:f>'Weekly Projections'!A200</x:f>
        <x:v>Cyrus Allen</x:v>
      </x:c>
      <x:c r="C184" s="12" t="str">
        <x:f>'Weekly Projections'!B200</x:f>
        <x:v>KC</x:v>
      </x:c>
      <x:c r="D184" s="12" t="str">
        <x:f>'Weekly Projections'!C200</x:f>
        <x:v>WR</x:v>
      </x:c>
      <x:c r="E184" s="12" t="n">
        <x:f>'Weekly Projections'!BA200</x:f>
        <x:v>6</x:v>
      </x:c>
      <x:c r="F184" s="17" t="n">
        <x:f>'Weekly Projections'!AW200</x:f>
        <x:v>5.343070434782609</x:v>
      </x:c>
    </x:row>
    <x:row r="185">
      <x:c r="A185" s="12" t="n">
        <x:f>'Weekly Projections'!BB201</x:f>
        <x:v>62</x:v>
      </x:c>
      <x:c r="B185" s="12" t="str">
        <x:f>'Weekly Projections'!A201</x:f>
        <x:v>Makai Lemon</x:v>
      </x:c>
      <x:c r="C185" s="12" t="str">
        <x:f>'Weekly Projections'!B201</x:f>
        <x:v>PHI</x:v>
      </x:c>
      <x:c r="D185" s="12" t="str">
        <x:f>'Weekly Projections'!C201</x:f>
        <x:v>WR</x:v>
      </x:c>
      <x:c r="E185" s="12" t="n">
        <x:f>'Weekly Projections'!BA201</x:f>
        <x:v>6</x:v>
      </x:c>
      <x:c r="F185" s="17" t="n">
        <x:f>'Weekly Projections'!AW201</x:f>
        <x:v>5.301959999999999</x:v>
      </x:c>
    </x:row>
    <x:row r="186">
      <x:c r="A186" s="12" t="n">
        <x:f>'Weekly Projections'!BB202</x:f>
        <x:v>63</x:v>
      </x:c>
      <x:c r="B186" s="12" t="str">
        <x:f>'Weekly Projections'!A202</x:f>
        <x:v>Jalen Coker</x:v>
      </x:c>
      <x:c r="C186" s="12" t="str">
        <x:f>'Weekly Projections'!B202</x:f>
        <x:v>CAR</x:v>
      </x:c>
      <x:c r="D186" s="12" t="str">
        <x:f>'Weekly Projections'!C202</x:f>
        <x:v>WR</x:v>
      </x:c>
      <x:c r="E186" s="12" t="n">
        <x:f>'Weekly Projections'!BA202</x:f>
        <x:v>6</x:v>
      </x:c>
      <x:c r="F186" s="17" t="n">
        <x:f>'Weekly Projections'!AW202</x:f>
        <x:v>5.203</x:v>
      </x:c>
    </x:row>
    <x:row r="187">
      <x:c r="A187" s="12" t="n">
        <x:f>'Weekly Projections'!BB197</x:f>
        <x:v>64</x:v>
      </x:c>
      <x:c r="B187" s="12" t="str">
        <x:f>'Weekly Projections'!A197</x:f>
        <x:v>Malachi Fields</x:v>
      </x:c>
      <x:c r="C187" s="12" t="str">
        <x:f>'Weekly Projections'!B197</x:f>
        <x:v>NYG</x:v>
      </x:c>
      <x:c r="D187" s="12" t="str">
        <x:f>'Weekly Projections'!C197</x:f>
        <x:v>WR</x:v>
      </x:c>
      <x:c r="E187" s="12" t="n">
        <x:f>'Weekly Projections'!BA197</x:f>
        <x:v>6</x:v>
      </x:c>
      <x:c r="F187" s="17" t="n">
        <x:f>'Weekly Projections'!AW197</x:f>
        <x:v>5.062611130434783</x:v>
      </x:c>
    </x:row>
    <x:row r="188">
      <x:c r="A188" s="12" t="n">
        <x:f>'Weekly Projections'!BB203</x:f>
        <x:v>65</x:v>
      </x:c>
      <x:c r="B188" s="12" t="str">
        <x:f>'Weekly Projections'!A203</x:f>
        <x:v>Nico Collins</x:v>
      </x:c>
      <x:c r="C188" s="12" t="str">
        <x:f>'Weekly Projections'!B203</x:f>
        <x:v>HOU</x:v>
      </x:c>
      <x:c r="D188" s="12" t="str">
        <x:f>'Weekly Projections'!C203</x:f>
        <x:v>WR</x:v>
      </x:c>
      <x:c r="E188" s="12" t="n">
        <x:f>'Weekly Projections'!BA203</x:f>
        <x:v>6</x:v>
      </x:c>
      <x:c r="F188" s="17" t="n">
        <x:f>'Weekly Projections'!AW203</x:f>
        <x:v>4.70828736</x:v>
      </x:c>
    </x:row>
    <x:row r="189">
      <x:c r="A189" s="12" t="n">
        <x:f>'Weekly Projections'!BB204</x:f>
        <x:v>66</x:v>
      </x:c>
      <x:c r="B189" s="12" t="str">
        <x:f>'Weekly Projections'!A204</x:f>
        <x:v>Mack Hollins</x:v>
      </x:c>
      <x:c r="C189" s="12" t="str">
        <x:f>'Weekly Projections'!B204</x:f>
        <x:v>NE</x:v>
      </x:c>
      <x:c r="D189" s="12" t="str">
        <x:f>'Weekly Projections'!C204</x:f>
        <x:v>WR</x:v>
      </x:c>
      <x:c r="E189" s="12" t="n">
        <x:f>'Weekly Projections'!BA204</x:f>
        <x:v>6</x:v>
      </x:c>
      <x:c r="F189" s="17" t="n">
        <x:f>'Weekly Projections'!AW204</x:f>
        <x:v>4.698528695652175</x:v>
      </x:c>
    </x:row>
    <x:row r="190">
      <x:c r="A190" s="12" t="n">
        <x:f>'Weekly Projections'!BB205</x:f>
        <x:v>67</x:v>
      </x:c>
      <x:c r="B190" s="12" t="str">
        <x:f>'Weekly Projections'!A205</x:f>
        <x:v>Romeo Doubs</x:v>
      </x:c>
      <x:c r="C190" s="12" t="str">
        <x:f>'Weekly Projections'!B205</x:f>
        <x:v>NE</x:v>
      </x:c>
      <x:c r="D190" s="12" t="str">
        <x:f>'Weekly Projections'!C205</x:f>
        <x:v>WR</x:v>
      </x:c>
      <x:c r="E190" s="12" t="n">
        <x:f>'Weekly Projections'!BA205</x:f>
        <x:v>6</x:v>
      </x:c>
      <x:c r="F190" s="17" t="n">
        <x:f>'Weekly Projections'!AW205</x:f>
        <x:v>4.698528695652175</x:v>
      </x:c>
    </x:row>
    <x:row r="191">
      <x:c r="A191" s="12" t="n">
        <x:f>'Weekly Projections'!BB206</x:f>
        <x:v>68</x:v>
      </x:c>
      <x:c r="B191" s="12" t="str">
        <x:f>'Weekly Projections'!A206</x:f>
        <x:v>Jalen McMillan</x:v>
      </x:c>
      <x:c r="C191" s="12" t="str">
        <x:f>'Weekly Projections'!B206</x:f>
        <x:v>TB</x:v>
      </x:c>
      <x:c r="D191" s="12" t="str">
        <x:f>'Weekly Projections'!C206</x:f>
        <x:v>WR</x:v>
      </x:c>
      <x:c r="E191" s="12" t="n">
        <x:f>'Weekly Projections'!BA206</x:f>
        <x:v>6</x:v>
      </x:c>
      <x:c r="F191" s="17" t="n">
        <x:f>'Weekly Projections'!AW206</x:f>
        <x:v>4.662481739130435</x:v>
      </x:c>
    </x:row>
    <x:row r="192">
      <x:c r="A192" s="12" t="n">
        <x:f>'Weekly Projections'!BB207</x:f>
        <x:v>69</x:v>
      </x:c>
      <x:c r="B192" s="12" t="str">
        <x:f>'Weekly Projections'!A207</x:f>
        <x:v>Zachariah Branch</x:v>
      </x:c>
      <x:c r="C192" s="12" t="str">
        <x:f>'Weekly Projections'!B207</x:f>
        <x:v>ATL</x:v>
      </x:c>
      <x:c r="D192" s="12" t="str">
        <x:f>'Weekly Projections'!C207</x:f>
        <x:v>WR</x:v>
      </x:c>
      <x:c r="E192" s="12" t="n">
        <x:f>'Weekly Projections'!BA207</x:f>
        <x:v>7</x:v>
      </x:c>
      <x:c r="F192" s="17" t="n">
        <x:f>'Weekly Projections'!AW207</x:f>
        <x:v>4.541551304347825</x:v>
      </x:c>
    </x:row>
    <x:row r="193">
      <x:c r="A193" s="12" t="n">
        <x:f>'Weekly Projections'!BB208</x:f>
        <x:v>70</x:v>
      </x:c>
      <x:c r="B193" s="12" t="str">
        <x:f>'Weekly Projections'!A208</x:f>
        <x:v>Jaylin Noel</x:v>
      </x:c>
      <x:c r="C193" s="12" t="str">
        <x:f>'Weekly Projections'!B208</x:f>
        <x:v>HOU</x:v>
      </x:c>
      <x:c r="D193" s="12" t="str">
        <x:f>'Weekly Projections'!C208</x:f>
        <x:v>WR</x:v>
      </x:c>
      <x:c r="E193" s="12" t="n">
        <x:f>'Weekly Projections'!BA208</x:f>
        <x:v>7</x:v>
      </x:c>
      <x:c r="F193" s="17" t="n">
        <x:f>'Weekly Projections'!AW208</x:f>
        <x:v>4.358171443478261</x:v>
      </x:c>
    </x:row>
    <x:row r="194">
      <x:c r="A194" s="12" t="n">
        <x:f>'Weekly Projections'!BB209</x:f>
        <x:v>71</x:v>
      </x:c>
      <x:c r="B194" s="12" t="str">
        <x:f>'Weekly Projections'!A209</x:f>
        <x:v>Kayshon Boutte</x:v>
      </x:c>
      <x:c r="C194" s="12" t="str">
        <x:f>'Weekly Projections'!B209</x:f>
        <x:v>HOU</x:v>
      </x:c>
      <x:c r="D194" s="12" t="str">
        <x:f>'Weekly Projections'!C209</x:f>
        <x:v>WR</x:v>
      </x:c>
      <x:c r="E194" s="12" t="n">
        <x:f>'Weekly Projections'!BA209</x:f>
        <x:v>7</x:v>
      </x:c>
      <x:c r="F194" s="17" t="n">
        <x:f>'Weekly Projections'!AW209</x:f>
        <x:v>4.358171443478261</x:v>
      </x:c>
    </x:row>
    <x:row r="195">
      <x:c r="A195" s="12" t="n">
        <x:f>'Weekly Projections'!BB210</x:f>
        <x:v>72</x:v>
      </x:c>
      <x:c r="B195" s="12" t="str">
        <x:f>'Weekly Projections'!A210</x:f>
        <x:v>Andrei Iosivas</x:v>
      </x:c>
      <x:c r="C195" s="12" t="str">
        <x:f>'Weekly Projections'!B210</x:f>
        <x:v>CIN</x:v>
      </x:c>
      <x:c r="D195" s="12" t="str">
        <x:f>'Weekly Projections'!C210</x:f>
        <x:v>WR</x:v>
      </x:c>
      <x:c r="E195" s="12" t="n">
        <x:f>'Weekly Projections'!BA210</x:f>
        <x:v>7</x:v>
      </x:c>
      <x:c r="F195" s="17" t="n">
        <x:f>'Weekly Projections'!AW210</x:f>
        <x:v>4.330097391304348</x:v>
      </x:c>
    </x:row>
    <x:row r="196">
      <x:c r="A196" s="12" t="n">
        <x:f>'Weekly Projections'!BB211</x:f>
        <x:v>73</x:v>
      </x:c>
      <x:c r="B196" s="12" t="str">
        <x:f>'Weekly Projections'!A211</x:f>
        <x:v>Darius Slayton</x:v>
      </x:c>
      <x:c r="C196" s="12" t="str">
        <x:f>'Weekly Projections'!B211</x:f>
        <x:v>IND</x:v>
      </x:c>
      <x:c r="D196" s="12" t="str">
        <x:f>'Weekly Projections'!C211</x:f>
        <x:v>WR</x:v>
      </x:c>
      <x:c r="E196" s="12" t="n">
        <x:f>'Weekly Projections'!BA211</x:f>
        <x:v>7</x:v>
      </x:c>
      <x:c r="F196" s="17" t="n">
        <x:f>'Weekly Projections'!AW211</x:f>
        <x:v>4.1715</x:v>
      </x:c>
    </x:row>
    <x:row r="197">
      <x:c r="A197" s="12" t="n">
        <x:f>'Weekly Projections'!BB212</x:f>
        <x:v>74</x:v>
      </x:c>
      <x:c r="B197" s="12" t="str">
        <x:f>'Weekly Projections'!A212</x:f>
        <x:v>Dontayvion Wicks</x:v>
      </x:c>
      <x:c r="C197" s="12" t="str">
        <x:f>'Weekly Projections'!B212</x:f>
        <x:v>PHI</x:v>
      </x:c>
      <x:c r="D197" s="12" t="str">
        <x:f>'Weekly Projections'!C212</x:f>
        <x:v>WR</x:v>
      </x:c>
      <x:c r="E197" s="12" t="n">
        <x:f>'Weekly Projections'!BA212</x:f>
        <x:v>7</x:v>
      </x:c>
      <x:c r="F197" s="17" t="n">
        <x:f>'Weekly Projections'!AW212</x:f>
        <x:v>4.158399999999999</x:v>
      </x:c>
    </x:row>
    <x:row r="198">
      <x:c r="A198" s="12" t="n">
        <x:f>'Weekly Projections'!BB213</x:f>
        <x:v>75</x:v>
      </x:c>
      <x:c r="B198" s="12" t="str">
        <x:f>'Weekly Projections'!A213</x:f>
        <x:v>Isaac TeSlaa</x:v>
      </x:c>
      <x:c r="C198" s="12" t="str">
        <x:f>'Weekly Projections'!B213</x:f>
        <x:v>DET</x:v>
      </x:c>
      <x:c r="D198" s="12" t="str">
        <x:f>'Weekly Projections'!C213</x:f>
        <x:v>WR</x:v>
      </x:c>
      <x:c r="E198" s="12" t="n">
        <x:f>'Weekly Projections'!BA213</x:f>
        <x:v>7</x:v>
      </x:c>
      <x:c r="F198" s="17" t="n">
        <x:f>'Weekly Projections'!AW213</x:f>
        <x:v>4.085877391304348</x:v>
      </x:c>
    </x:row>
    <x:row r="199">
      <x:c r="A199" s="12" t="n">
        <x:f>'Weekly Projections'!BB214</x:f>
        <x:v>76</x:v>
      </x:c>
      <x:c r="B199" s="12" t="str">
        <x:f>'Weekly Projections'!A214</x:f>
        <x:v>Germie Bernard</x:v>
      </x:c>
      <x:c r="C199" s="12" t="str">
        <x:f>'Weekly Projections'!B214</x:f>
        <x:v>PIT</x:v>
      </x:c>
      <x:c r="D199" s="12" t="str">
        <x:f>'Weekly Projections'!C214</x:f>
        <x:v>WR</x:v>
      </x:c>
      <x:c r="E199" s="12" t="n">
        <x:f>'Weekly Projections'!BA214</x:f>
        <x:v>7</x:v>
      </x:c>
      <x:c r="F199" s="17" t="n">
        <x:f>'Weekly Projections'!AW214</x:f>
        <x:v>3.9686956521739134</x:v>
      </x:c>
    </x:row>
    <x:row r="200">
      <x:c r="A200" s="12" t="n">
        <x:f>'Weekly Projections'!BB215</x:f>
        <x:v>77</x:v>
      </x:c>
      <x:c r="B200" s="12" t="str">
        <x:f>'Weekly Projections'!A215</x:f>
        <x:v>Malik Washington</x:v>
      </x:c>
      <x:c r="C200" s="12" t="str">
        <x:f>'Weekly Projections'!B215</x:f>
        <x:v>MIA</x:v>
      </x:c>
      <x:c r="D200" s="12" t="str">
        <x:f>'Weekly Projections'!C215</x:f>
        <x:v>WR</x:v>
      </x:c>
      <x:c r="E200" s="12" t="n">
        <x:f>'Weekly Projections'!BA215</x:f>
        <x:v>7</x:v>
      </x:c>
      <x:c r="F200" s="17" t="n">
        <x:f>'Weekly Projections'!AW215</x:f>
        <x:v>3.941973913043478</x:v>
      </x:c>
    </x:row>
    <x:row r="201">
      <x:c r="A201" s="12" t="n">
        <x:f>'Weekly Projections'!BB216</x:f>
        <x:v>78</x:v>
      </x:c>
      <x:c r="B201" s="12" t="str">
        <x:f>'Weekly Projections'!A216</x:f>
        <x:v>Tyquan Thornton</x:v>
      </x:c>
      <x:c r="C201" s="12" t="str">
        <x:f>'Weekly Projections'!B216</x:f>
        <x:v>KC</x:v>
      </x:c>
      <x:c r="D201" s="12" t="str">
        <x:f>'Weekly Projections'!C216</x:f>
        <x:v>WR</x:v>
      </x:c>
      <x:c r="E201" s="12" t="n">
        <x:f>'Weekly Projections'!BA216</x:f>
        <x:v>7</x:v>
      </x:c>
      <x:c r="F201" s="17" t="n">
        <x:f>'Weekly Projections'!AW216</x:f>
        <x:v>3.8763452173913047</x:v>
      </x:c>
    </x:row>
    <x:row r="202">
      <x:c r="A202" s="12" t="n">
        <x:f>'Weekly Projections'!BB217</x:f>
        <x:v>79</x:v>
      </x:c>
      <x:c r="B202" s="12" t="str">
        <x:f>'Weekly Projections'!A217</x:f>
        <x:v>Christian Kirk</x:v>
      </x:c>
      <x:c r="C202" s="12" t="str">
        <x:f>'Weekly Projections'!B217</x:f>
        <x:v>SF</x:v>
      </x:c>
      <x:c r="D202" s="12" t="str">
        <x:f>'Weekly Projections'!C217</x:f>
        <x:v>WR</x:v>
      </x:c>
      <x:c r="E202" s="12" t="n">
        <x:f>'Weekly Projections'!BA217</x:f>
        <x:v>7</x:v>
      </x:c>
      <x:c r="F202" s="17" t="n">
        <x:f>'Weekly Projections'!AW217</x:f>
        <x:v>3.8594782608695652</x:v>
      </x:c>
    </x:row>
    <x:row r="203">
      <x:c r="A203" s="12" t="n">
        <x:f>'Weekly Projections'!BB157</x:f>
        <x:v>80</x:v>
      </x:c>
      <x:c r="B203" s="12" t="str">
        <x:f>'Weekly Projections'!A157</x:f>
        <x:v>Puka Nacua</x:v>
      </x:c>
      <x:c r="C203" s="12" t="str">
        <x:f>'Weekly Projections'!B157</x:f>
        <x:v>LAR</x:v>
      </x:c>
      <x:c r="D203" s="12" t="str">
        <x:f>'Weekly Projections'!C157</x:f>
        <x:v>WR</x:v>
      </x:c>
      <x:c r="E203" s="12" t="n">
        <x:f>'Weekly Projections'!BA157</x:f>
        <x:v>2</x:v>
      </x:c>
      <x:c r="F203" s="17" t="n">
        <x:f>'Weekly Projections'!AW157</x:f>
        <x:v>3.8035992608695652</x:v>
      </x:c>
    </x:row>
    <x:row r="204">
      <x:c r="A204" s="12" t="n">
        <x:f>'Weekly Projections'!BB218</x:f>
        <x:v>81</x:v>
      </x:c>
      <x:c r="B204" s="12" t="str">
        <x:f>'Weekly Projections'!A218</x:f>
        <x:v>Cooper Kupp</x:v>
      </x:c>
      <x:c r="C204" s="12" t="str">
        <x:f>'Weekly Projections'!B218</x:f>
        <x:v>SEA</x:v>
      </x:c>
      <x:c r="D204" s="12" t="str">
        <x:f>'Weekly Projections'!C218</x:f>
        <x:v>WR</x:v>
      </x:c>
      <x:c r="E204" s="12" t="n">
        <x:f>'Weekly Projections'!BA218</x:f>
        <x:v>7</x:v>
      </x:c>
      <x:c r="F204" s="17" t="n">
        <x:f>'Weekly Projections'!AW218</x:f>
        <x:v>3.786869565217392</x:v>
      </x:c>
    </x:row>
    <x:row r="205">
      <x:c r="A205" s="12" t="n">
        <x:f>'Weekly Projections'!BB219</x:f>
        <x:v>82</x:v>
      </x:c>
      <x:c r="B205" s="12" t="str">
        <x:f>'Weekly Projections'!A219</x:f>
        <x:v>Elijah Sarratt</x:v>
      </x:c>
      <x:c r="C205" s="12" t="str">
        <x:f>'Weekly Projections'!B219</x:f>
        <x:v>BAL</x:v>
      </x:c>
      <x:c r="D205" s="12" t="str">
        <x:f>'Weekly Projections'!C219</x:f>
        <x:v>WR</x:v>
      </x:c>
      <x:c r="E205" s="12" t="n">
        <x:f>'Weekly Projections'!BA219</x:f>
        <x:v>8</x:v>
      </x:c>
      <x:c r="F205" s="17" t="n">
        <x:f>'Weekly Projections'!AW219</x:f>
        <x:v>3.7520000000000002</x:v>
      </x:c>
    </x:row>
    <x:row r="206">
      <x:c r="A206" s="12" t="n">
        <x:f>'Weekly Projections'!BB220</x:f>
        <x:v>83</x:v>
      </x:c>
      <x:c r="B206" s="12" t="str">
        <x:f>'Weekly Projections'!A220</x:f>
        <x:v>Troy Franklin</x:v>
      </x:c>
      <x:c r="C206" s="12" t="str">
        <x:f>'Weekly Projections'!B220</x:f>
        <x:v>DEN</x:v>
      </x:c>
      <x:c r="D206" s="12" t="str">
        <x:f>'Weekly Projections'!C220</x:f>
        <x:v>WR</x:v>
      </x:c>
      <x:c r="E206" s="12" t="n">
        <x:f>'Weekly Projections'!BA220</x:f>
        <x:v>8</x:v>
      </x:c>
      <x:c r="F206" s="17" t="n">
        <x:f>'Weekly Projections'!AW220</x:f>
        <x:v>3.7405217391304353</x:v>
      </x:c>
    </x:row>
    <x:row r="207">
      <x:c r="A207" s="12" t="n">
        <x:f>'Weekly Projections'!BB221</x:f>
        <x:v>84</x:v>
      </x:c>
      <x:c r="B207" s="12" t="str">
        <x:f>'Weekly Projections'!A221</x:f>
        <x:v>Travis Hunter</x:v>
      </x:c>
      <x:c r="C207" s="12" t="str">
        <x:f>'Weekly Projections'!B221</x:f>
        <x:v>JAC</x:v>
      </x:c>
      <x:c r="D207" s="12" t="str">
        <x:f>'Weekly Projections'!C221</x:f>
        <x:v>WR</x:v>
      </x:c>
      <x:c r="E207" s="12" t="n">
        <x:f>'Weekly Projections'!BA221</x:f>
        <x:v>8</x:v>
      </x:c>
      <x:c r="F207" s="17" t="n">
        <x:f>'Weekly Projections'!AW221</x:f>
        <x:v>3.67104347826087</x:v>
      </x:c>
    </x:row>
    <x:row r="208">
      <x:c r="A208" s="12" t="n">
        <x:f>'Weekly Projections'!BB222</x:f>
        <x:v>85</x:v>
      </x:c>
      <x:c r="B208" s="12" t="str">
        <x:f>'Weekly Projections'!A222</x:f>
        <x:v>Jack Bech</x:v>
      </x:c>
      <x:c r="C208" s="12" t="str">
        <x:f>'Weekly Projections'!B222</x:f>
        <x:v>LV</x:v>
      </x:c>
      <x:c r="D208" s="12" t="str">
        <x:f>'Weekly Projections'!C222</x:f>
        <x:v>WR</x:v>
      </x:c>
      <x:c r="E208" s="12" t="n">
        <x:f>'Weekly Projections'!BA222</x:f>
        <x:v>8</x:v>
      </x:c>
      <x:c r="F208" s="17" t="n">
        <x:f>'Weekly Projections'!AW222</x:f>
        <x:v>3.598873043478261</x:v>
      </x:c>
    </x:row>
    <x:row r="209">
      <x:c r="A209" s="12" t="n">
        <x:f>'Weekly Projections'!BB223</x:f>
        <x:v>86</x:v>
      </x:c>
      <x:c r="B209" s="12" t="str">
        <x:f>'Weekly Projections'!A223</x:f>
        <x:v>Kyle Williams</x:v>
      </x:c>
      <x:c r="C209" s="12" t="str">
        <x:f>'Weekly Projections'!B223</x:f>
        <x:v>NE</x:v>
      </x:c>
      <x:c r="D209" s="12" t="str">
        <x:f>'Weekly Projections'!C223</x:f>
        <x:v>WR</x:v>
      </x:c>
      <x:c r="E209" s="12" t="n">
        <x:f>'Weekly Projections'!BA223</x:f>
        <x:v>8</x:v>
      </x:c>
      <x:c r="F209" s="17" t="n">
        <x:f>'Weekly Projections'!AW223</x:f>
        <x:v>3.598873043478261</x:v>
      </x:c>
    </x:row>
    <x:row r="210">
      <x:c r="A210" s="12" t="n">
        <x:f>'Weekly Projections'!BB225</x:f>
        <x:v>87</x:v>
      </x:c>
      <x:c r="B210" s="12" t="str">
        <x:f>'Weekly Projections'!A225</x:f>
        <x:v>Elic Ayomanor</x:v>
      </x:c>
      <x:c r="C210" s="12" t="str">
        <x:f>'Weekly Projections'!B225</x:f>
        <x:v>TEN</x:v>
      </x:c>
      <x:c r="D210" s="12" t="str">
        <x:f>'Weekly Projections'!C225</x:f>
        <x:v>WR</x:v>
      </x:c>
      <x:c r="E210" s="12" t="n">
        <x:f>'Weekly Projections'!BA225</x:f>
        <x:v>8</x:v>
      </x:c>
      <x:c r="F210" s="17" t="n">
        <x:f>'Weekly Projections'!AW225</x:f>
        <x:v>3.469321739130435</x:v>
      </x:c>
    </x:row>
    <x:row r="211">
      <x:c r="A211" s="12" t="n">
        <x:f>'Weekly Projections'!BB226</x:f>
        <x:v>88</x:v>
      </x:c>
      <x:c r="B211" s="12" t="str">
        <x:f>'Weekly Projections'!A226</x:f>
        <x:v>Omar Cooper Jr.</x:v>
      </x:c>
      <x:c r="C211" s="12" t="str">
        <x:f>'Weekly Projections'!B226</x:f>
        <x:v>NYJ</x:v>
      </x:c>
      <x:c r="D211" s="12" t="str">
        <x:f>'Weekly Projections'!C226</x:f>
        <x:v>WR</x:v>
      </x:c>
      <x:c r="E211" s="12" t="n">
        <x:f>'Weekly Projections'!BA226</x:f>
        <x:v>8</x:v>
      </x:c>
      <x:c r="F211" s="17" t="n">
        <x:f>'Weekly Projections'!AW226</x:f>
        <x:v>3.3227269565217386</x:v>
      </x:c>
    </x:row>
    <x:row r="212">
      <x:c r="A212" s="12" t="n">
        <x:f>'Weekly Projections'!BB227</x:f>
        <x:v>89</x:v>
      </x:c>
      <x:c r="B212" s="12" t="str">
        <x:f>'Weekly Projections'!A227</x:f>
        <x:v>Caleb Douglas</x:v>
      </x:c>
      <x:c r="C212" s="12" t="str">
        <x:f>'Weekly Projections'!B227</x:f>
        <x:v>MIA</x:v>
      </x:c>
      <x:c r="D212" s="12" t="str">
        <x:f>'Weekly Projections'!C227</x:f>
        <x:v>WR</x:v>
      </x:c>
      <x:c r="E212" s="12" t="n">
        <x:f>'Weekly Projections'!BA227</x:f>
        <x:v>8</x:v>
      </x:c>
      <x:c r="F212" s="17" t="n">
        <x:f>'Weekly Projections'!AW227</x:f>
        <x:v>3.2849782608695657</x:v>
      </x:c>
    </x:row>
    <x:row r="213">
      <x:c r="A213" s="12" t="n">
        <x:f>'Weekly Projections'!BB224</x:f>
        <x:v>90</x:v>
      </x:c>
      <x:c r="B213" s="12" t="str">
        <x:f>'Weekly Projections'!A224</x:f>
        <x:v>Darnell Mooney</x:v>
      </x:c>
      <x:c r="C213" s="12" t="str">
        <x:f>'Weekly Projections'!B224</x:f>
        <x:v>NYG</x:v>
      </x:c>
      <x:c r="D213" s="12" t="str">
        <x:f>'Weekly Projections'!C224</x:f>
        <x:v>WR</x:v>
      </x:c>
      <x:c r="E213" s="12" t="n">
        <x:f>'Weekly Projections'!BA224</x:f>
        <x:v>8</x:v>
      </x:c>
      <x:c r="F213" s="17" t="n">
        <x:f>'Weekly Projections'!AW224</x:f>
        <x:v>3.197438608695653</x:v>
      </x:c>
    </x:row>
    <x:row r="214">
      <x:c r="A214" s="12" t="n">
        <x:f>'Weekly Projections'!BB229</x:f>
        <x:v>91</x:v>
      </x:c>
      <x:c r="B214" s="12" t="str">
        <x:f>'Weekly Projections'!A229</x:f>
        <x:v>Chimere Dike</x:v>
      </x:c>
      <x:c r="C214" s="12" t="str">
        <x:f>'Weekly Projections'!B229</x:f>
        <x:v>TEN</x:v>
      </x:c>
      <x:c r="D214" s="12" t="str">
        <x:f>'Weekly Projections'!C229</x:f>
        <x:v>WR</x:v>
      </x:c>
      <x:c r="E214" s="12" t="n">
        <x:f>'Weekly Projections'!BA229</x:f>
        <x:v>8</x:v>
      </x:c>
      <x:c r="F214" s="17" t="n">
        <x:f>'Weekly Projections'!AW229</x:f>
        <x:v>3.0728278260869564</x:v>
      </x:c>
    </x:row>
    <x:row r="215">
      <x:c r="A215" s="12" t="n">
        <x:f>'Weekly Projections'!BB230</x:f>
        <x:v>92</x:v>
      </x:c>
      <x:c r="B215" s="12" t="str">
        <x:f>'Weekly Projections'!A230</x:f>
        <x:v>DeMario Douglas</x:v>
      </x:c>
      <x:c r="C215" s="12" t="str">
        <x:f>'Weekly Projections'!B230</x:f>
        <x:v>NE</x:v>
      </x:c>
      <x:c r="D215" s="12" t="str">
        <x:f>'Weekly Projections'!C230</x:f>
        <x:v>WR</x:v>
      </x:c>
      <x:c r="E215" s="12" t="n">
        <x:f>'Weekly Projections'!BA230</x:f>
        <x:v>8</x:v>
      </x:c>
      <x:c r="F215" s="17" t="n">
        <x:f>'Weekly Projections'!AW230</x:f>
        <x:v>2.9990608695652172</x:v>
      </x:c>
    </x:row>
    <x:row r="216">
      <x:c r="A216" s="12" t="n">
        <x:f>'Weekly Projections'!BB231</x:f>
        <x:v>93</x:v>
      </x:c>
      <x:c r="B216" s="12" t="str">
        <x:f>'Weekly Projections'!A231</x:f>
        <x:v>Kevin Coleman Jr.</x:v>
      </x:c>
      <x:c r="C216" s="12" t="str">
        <x:f>'Weekly Projections'!B231</x:f>
        <x:v>MIA</x:v>
      </x:c>
      <x:c r="D216" s="12" t="str">
        <x:f>'Weekly Projections'!C231</x:f>
        <x:v>WR</x:v>
      </x:c>
      <x:c r="E216" s="12" t="n">
        <x:f>'Weekly Projections'!BA231</x:f>
        <x:v>9</x:v>
      </x:c>
      <x:c r="F216" s="17" t="n">
        <x:f>'Weekly Projections'!AW231</x:f>
        <x:v>2.9095521739130437</x:v>
      </x:c>
    </x:row>
    <x:row r="217">
      <x:c r="A217" s="12" t="n">
        <x:f>'Weekly Projections'!BB233</x:f>
        <x:v>94</x:v>
      </x:c>
      <x:c r="B217" s="12" t="str">
        <x:f>'Weekly Projections'!A233</x:f>
        <x:v>Keon Coleman</x:v>
      </x:c>
      <x:c r="C217" s="12" t="str">
        <x:f>'Weekly Projections'!B233</x:f>
        <x:v>BUF</x:v>
      </x:c>
      <x:c r="D217" s="12" t="str">
        <x:f>'Weekly Projections'!C233</x:f>
        <x:v>WR</x:v>
      </x:c>
      <x:c r="E217" s="12" t="n">
        <x:f>'Weekly Projections'!BA233</x:f>
        <x:v>9</x:v>
      </x:c>
      <x:c r="F217" s="17" t="n">
        <x:f>'Weekly Projections'!AW233</x:f>
        <x:v>2.842073043478261</x:v>
      </x:c>
    </x:row>
    <x:row r="218">
      <x:c r="A218" s="12" t="n">
        <x:f>'Weekly Projections'!BB234</x:f>
        <x:v>95</x:v>
      </x:c>
      <x:c r="B218" s="12" t="str">
        <x:f>'Weekly Projections'!A234</x:f>
        <x:v>Skyler Bell</x:v>
      </x:c>
      <x:c r="C218" s="12" t="str">
        <x:f>'Weekly Projections'!B234</x:f>
        <x:v>BUF</x:v>
      </x:c>
      <x:c r="D218" s="12" t="str">
        <x:f>'Weekly Projections'!C234</x:f>
        <x:v>WR</x:v>
      </x:c>
      <x:c r="E218" s="12" t="n">
        <x:f>'Weekly Projections'!BA234</x:f>
        <x:v>9</x:v>
      </x:c>
      <x:c r="F218" s="17" t="n">
        <x:f>'Weekly Projections'!AW234</x:f>
        <x:v>2.652601507246377</x:v>
      </x:c>
    </x:row>
    <x:row r="219">
      <x:c r="A219" s="12" t="n">
        <x:f>'Weekly Projections'!BB235</x:f>
        <x:v>96</x:v>
      </x:c>
      <x:c r="B219" s="12" t="str">
        <x:f>'Weekly Projections'!A235</x:f>
        <x:v>Konata Mumpfield</x:v>
      </x:c>
      <x:c r="C219" s="12" t="str">
        <x:f>'Weekly Projections'!B235</x:f>
        <x:v>LAR</x:v>
      </x:c>
      <x:c r="D219" s="12" t="str">
        <x:f>'Weekly Projections'!C235</x:f>
        <x:v>WR</x:v>
      </x:c>
      <x:c r="E219" s="12" t="n">
        <x:f>'Weekly Projections'!BA235</x:f>
        <x:v>9</x:v>
      </x:c>
      <x:c r="F219" s="17" t="n">
        <x:f>'Weekly Projections'!AW235</x:f>
        <x:v>2.5892765217391314</x:v>
      </x:c>
    </x:row>
    <x:row r="220">
      <x:c r="A220" s="12" t="n">
        <x:f>'Weekly Projections'!BB236</x:f>
        <x:v>97</x:v>
      </x:c>
      <x:c r="B220" s="12" t="str">
        <x:f>'Weekly Projections'!A236</x:f>
        <x:v>Jahan Dotson</x:v>
      </x:c>
      <x:c r="C220" s="12" t="str">
        <x:f>'Weekly Projections'!B236</x:f>
        <x:v>ATL</x:v>
      </x:c>
      <x:c r="D220" s="12" t="str">
        <x:f>'Weekly Projections'!C236</x:f>
        <x:v>WR</x:v>
      </x:c>
      <x:c r="E220" s="12" t="n">
        <x:f>'Weekly Projections'!BA236</x:f>
        <x:v>9</x:v>
      </x:c>
      <x:c r="F220" s="17" t="n">
        <x:f>'Weekly Projections'!AW236</x:f>
        <x:v>2.460006956521739</x:v>
      </x:c>
    </x:row>
    <x:row r="221">
      <x:c r="A221" s="12" t="n">
        <x:f>'Weekly Projections'!BB237</x:f>
        <x:v>98</x:v>
      </x:c>
      <x:c r="B221" s="12" t="str">
        <x:f>'Weekly Projections'!A237</x:f>
        <x:v>Marvin Mims Jr.</x:v>
      </x:c>
      <x:c r="C221" s="12" t="str">
        <x:f>'Weekly Projections'!B237</x:f>
        <x:v>DEN</x:v>
      </x:c>
      <x:c r="D221" s="12" t="str">
        <x:f>'Weekly Projections'!C237</x:f>
        <x:v>WR</x:v>
      </x:c>
      <x:c r="E221" s="12" t="n">
        <x:f>'Weekly Projections'!BA237</x:f>
        <x:v>9</x:v>
      </x:c>
      <x:c r="F221" s="17" t="n">
        <x:f>'Weekly Projections'!AW237</x:f>
        <x:v>2.3624347826086955</x:v>
      </x:c>
    </x:row>
    <x:row r="222">
      <x:c r="A222" s="12" t="n">
        <x:f>'Weekly Projections'!BB238</x:f>
        <x:v>99</x:v>
      </x:c>
      <x:c r="B222" s="12" t="str">
        <x:f>'Weekly Projections'!A238</x:f>
        <x:v>Joshua Palmer</x:v>
      </x:c>
      <x:c r="C222" s="12" t="str">
        <x:f>'Weekly Projections'!B238</x:f>
        <x:v>BUF</x:v>
      </x:c>
      <x:c r="D222" s="12" t="str">
        <x:f>'Weekly Projections'!C238</x:f>
        <x:v>WR</x:v>
      </x:c>
      <x:c r="E222" s="12" t="n">
        <x:f>'Weekly Projections'!BA238</x:f>
        <x:v>9</x:v>
      </x:c>
      <x:c r="F222" s="17" t="n">
        <x:f>'Weekly Projections'!AW238</x:f>
        <x:v>2.3345599999999997</x:v>
      </x:c>
    </x:row>
    <x:row r="223">
      <x:c r="A223" s="12" t="n">
        <x:f>'Weekly Projections'!BB239</x:f>
        <x:v>100</x:v>
      </x:c>
      <x:c r="B223" s="12" t="str">
        <x:f>'Weekly Projections'!A239</x:f>
        <x:v>Xavier Legette</x:v>
      </x:c>
      <x:c r="C223" s="12" t="str">
        <x:f>'Weekly Projections'!B239</x:f>
        <x:v>CAR</x:v>
      </x:c>
      <x:c r="D223" s="12" t="str">
        <x:f>'Weekly Projections'!C239</x:f>
        <x:v>WR</x:v>
      </x:c>
      <x:c r="E223" s="12" t="n">
        <x:f>'Weekly Projections'!BA239</x:f>
        <x:v>9</x:v>
      </x:c>
      <x:c r="F223" s="17" t="n">
        <x:f>'Weekly Projections'!AW239</x:f>
        <x:v>2.2704</x:v>
      </x:c>
    </x:row>
    <x:row r="224">
      <x:c r="A224" s="12" t="n">
        <x:f>'Weekly Projections'!BB242</x:f>
        <x:v>1</x:v>
      </x:c>
      <x:c r="B224" s="12" t="str">
        <x:f>'Weekly Projections'!A242</x:f>
        <x:v>Trey McBride</x:v>
      </x:c>
      <x:c r="C224" s="12" t="str">
        <x:f>'Weekly Projections'!B242</x:f>
        <x:v>ARI</x:v>
      </x:c>
      <x:c r="D224" s="12" t="str">
        <x:f>'Weekly Projections'!C242</x:f>
        <x:v>TE</x:v>
      </x:c>
      <x:c r="E224" s="12" t="n">
        <x:f>'Weekly Projections'!BA242</x:f>
        <x:v>1</x:v>
      </x:c>
      <x:c r="F224" s="17" t="n">
        <x:f>'Weekly Projections'!AW242</x:f>
        <x:v>11.351496688741722</x:v>
      </x:c>
    </x:row>
    <x:row r="225">
      <x:c r="A225" s="12" t="n">
        <x:f>'Weekly Projections'!BB243</x:f>
        <x:v>2</x:v>
      </x:c>
      <x:c r="B225" s="12" t="str">
        <x:f>'Weekly Projections'!A243</x:f>
        <x:v>Brock Bowers</x:v>
      </x:c>
      <x:c r="C225" s="12" t="str">
        <x:f>'Weekly Projections'!B243</x:f>
        <x:v>LV</x:v>
      </x:c>
      <x:c r="D225" s="12" t="str">
        <x:f>'Weekly Projections'!C243</x:f>
        <x:v>TE</x:v>
      </x:c>
      <x:c r="E225" s="12" t="n">
        <x:f>'Weekly Projections'!BA243</x:f>
        <x:v>1</x:v>
      </x:c>
      <x:c r="F225" s="17" t="n">
        <x:f>'Weekly Projections'!AW243</x:f>
        <x:v>10.73003514348786</x:v>
      </x:c>
    </x:row>
    <x:row r="226">
      <x:c r="A226" s="12" t="n">
        <x:f>'Weekly Projections'!BB244</x:f>
        <x:v>3</x:v>
      </x:c>
      <x:c r="B226" s="12" t="str">
        <x:f>'Weekly Projections'!A244</x:f>
        <x:v>Mark Andrews</x:v>
      </x:c>
      <x:c r="C226" s="12" t="str">
        <x:f>'Weekly Projections'!B244</x:f>
        <x:v>BAL</x:v>
      </x:c>
      <x:c r="D226" s="12" t="str">
        <x:f>'Weekly Projections'!C244</x:f>
        <x:v>TE</x:v>
      </x:c>
      <x:c r="E226" s="12" t="n">
        <x:f>'Weekly Projections'!BA244</x:f>
        <x:v>1</x:v>
      </x:c>
      <x:c r="F226" s="17" t="n">
        <x:f>'Weekly Projections'!AW244</x:f>
        <x:v>10.522598781456953</x:v>
      </x:c>
    </x:row>
    <x:row r="227">
      <x:c r="A227" s="12" t="n">
        <x:f>'Weekly Projections'!BB245</x:f>
        <x:v>4</x:v>
      </x:c>
      <x:c r="B227" s="12" t="str">
        <x:f>'Weekly Projections'!A245</x:f>
        <x:v>Sam LaPorta</x:v>
      </x:c>
      <x:c r="C227" s="12" t="str">
        <x:f>'Weekly Projections'!B245</x:f>
        <x:v>DET</x:v>
      </x:c>
      <x:c r="D227" s="12" t="str">
        <x:f>'Weekly Projections'!C245</x:f>
        <x:v>TE</x:v>
      </x:c>
      <x:c r="E227" s="12" t="n">
        <x:f>'Weekly Projections'!BA245</x:f>
        <x:v>1</x:v>
      </x:c>
      <x:c r="F227" s="17" t="n">
        <x:f>'Weekly Projections'!AW245</x:f>
        <x:v>10.363162649006622</x:v>
      </x:c>
    </x:row>
    <x:row r="228">
      <x:c r="A228" s="12" t="n">
        <x:f>'Weekly Projections'!BB252</x:f>
        <x:v>5</x:v>
      </x:c>
      <x:c r="B228" s="12" t="str">
        <x:f>'Weekly Projections'!A252</x:f>
        <x:v>Tucker Kraft</x:v>
      </x:c>
      <x:c r="C228" s="12" t="str">
        <x:f>'Weekly Projections'!B252</x:f>
        <x:v>GB</x:v>
      </x:c>
      <x:c r="D228" s="12" t="str">
        <x:f>'Weekly Projections'!C252</x:f>
        <x:v>TE</x:v>
      </x:c>
      <x:c r="E228" s="12" t="n">
        <x:f>'Weekly Projections'!BA252</x:f>
        <x:v>2</x:v>
      </x:c>
      <x:c r="F228" s="17" t="n">
        <x:f>'Weekly Projections'!AW252</x:f>
        <x:v>9.79</x:v>
      </x:c>
    </x:row>
    <x:row r="229">
      <x:c r="A229" s="12" t="n">
        <x:f>'Weekly Projections'!BB246</x:f>
        <x:v>6</x:v>
      </x:c>
      <x:c r="B229" s="12" t="str">
        <x:f>'Weekly Projections'!A246</x:f>
        <x:v>Dalton Kincaid</x:v>
      </x:c>
      <x:c r="C229" s="12" t="str">
        <x:f>'Weekly Projections'!B246</x:f>
        <x:v>BUF</x:v>
      </x:c>
      <x:c r="D229" s="12" t="str">
        <x:f>'Weekly Projections'!C246</x:f>
        <x:v>TE</x:v>
      </x:c>
      <x:c r="E229" s="12" t="n">
        <x:f>'Weekly Projections'!BA246</x:f>
        <x:v>1</x:v>
      </x:c>
      <x:c r="F229" s="17" t="n">
        <x:f>'Weekly Projections'!AW246</x:f>
        <x:v>9.640121854304637</x:v>
      </x:c>
    </x:row>
    <x:row r="230">
      <x:c r="A230" s="12" t="n">
        <x:f>'Weekly Projections'!BB248</x:f>
        <x:v>7</x:v>
      </x:c>
      <x:c r="B230" s="12" t="str">
        <x:f>'Weekly Projections'!A248</x:f>
        <x:v>Harold Fannin Jr.</x:v>
      </x:c>
      <x:c r="C230" s="12" t="str">
        <x:f>'Weekly Projections'!B248</x:f>
        <x:v>CLE</x:v>
      </x:c>
      <x:c r="D230" s="12" t="str">
        <x:f>'Weekly Projections'!C248</x:f>
        <x:v>TE</x:v>
      </x:c>
      <x:c r="E230" s="12" t="n">
        <x:f>'Weekly Projections'!BA248</x:f>
        <x:v>2</x:v>
      </x:c>
      <x:c r="F230" s="17" t="n">
        <x:f>'Weekly Projections'!AW248</x:f>
        <x:v>9.161518410596026</x:v>
      </x:c>
    </x:row>
    <x:row r="231">
      <x:c r="A231" s="12" t="n">
        <x:f>'Weekly Projections'!BB249</x:f>
        <x:v>8</x:v>
      </x:c>
      <x:c r="B231" s="12" t="str">
        <x:f>'Weekly Projections'!A249</x:f>
        <x:v>Tyler Warren</x:v>
      </x:c>
      <x:c r="C231" s="12" t="str">
        <x:f>'Weekly Projections'!B249</x:f>
        <x:v>IND</x:v>
      </x:c>
      <x:c r="D231" s="12" t="str">
        <x:f>'Weekly Projections'!C249</x:f>
        <x:v>TE</x:v>
      </x:c>
      <x:c r="E231" s="12" t="n">
        <x:f>'Weekly Projections'!BA249</x:f>
        <x:v>2</x:v>
      </x:c>
      <x:c r="F231" s="17" t="n">
        <x:f>'Weekly Projections'!AW249</x:f>
        <x:v>9.135099337748345</x:v>
      </x:c>
    </x:row>
    <x:row r="232">
      <x:c r="A232" s="12" t="n">
        <x:f>'Weekly Projections'!BB253</x:f>
        <x:v>9</x:v>
      </x:c>
      <x:c r="B232" s="12" t="str">
        <x:f>'Weekly Projections'!A253</x:f>
        <x:v>Terrance Ferguson</x:v>
      </x:c>
      <x:c r="C232" s="12" t="str">
        <x:f>'Weekly Projections'!B253</x:f>
        <x:v>LAR</x:v>
      </x:c>
      <x:c r="D232" s="12" t="str">
        <x:f>'Weekly Projections'!C253</x:f>
        <x:v>TE</x:v>
      </x:c>
      <x:c r="E232" s="12" t="n">
        <x:f>'Weekly Projections'!BA253</x:f>
        <x:v>2</x:v>
      </x:c>
      <x:c r="F232" s="17" t="n">
        <x:f>'Weekly Projections'!AW253</x:f>
        <x:v>9</x:v>
      </x:c>
    </x:row>
    <x:row r="233">
      <x:c r="A233" s="12" t="n">
        <x:f>'Weekly Projections'!BB251</x:f>
        <x:v>10</x:v>
      </x:c>
      <x:c r="B233" s="12" t="str">
        <x:f>'Weekly Projections'!A251</x:f>
        <x:v>Travis Kelce</x:v>
      </x:c>
      <x:c r="C233" s="12" t="str">
        <x:f>'Weekly Projections'!B251</x:f>
        <x:v>KC</x:v>
      </x:c>
      <x:c r="D233" s="12" t="str">
        <x:f>'Weekly Projections'!C251</x:f>
        <x:v>TE</x:v>
      </x:c>
      <x:c r="E233" s="12" t="n">
        <x:f>'Weekly Projections'!BA251</x:f>
        <x:v>2</x:v>
      </x:c>
      <x:c r="F233" s="17" t="n">
        <x:f>'Weekly Projections'!AW251</x:f>
        <x:v>8.583629668874172</x:v>
      </x:c>
    </x:row>
    <x:row r="234">
      <x:c r="A234" s="12" t="n">
        <x:f>'Weekly Projections'!BB254</x:f>
        <x:v>11</x:v>
      </x:c>
      <x:c r="B234" s="12" t="str">
        <x:f>'Weekly Projections'!A254</x:f>
        <x:v>George Kittle</x:v>
      </x:c>
      <x:c r="C234" s="12" t="str">
        <x:f>'Weekly Projections'!B254</x:f>
        <x:v>SF</x:v>
      </x:c>
      <x:c r="D234" s="12" t="str">
        <x:f>'Weekly Projections'!C254</x:f>
        <x:v>TE</x:v>
      </x:c>
      <x:c r="E234" s="12" t="n">
        <x:f>'Weekly Projections'!BA254</x:f>
        <x:v>3</x:v>
      </x:c>
      <x:c r="F234" s="17" t="n">
        <x:f>'Weekly Projections'!AW254</x:f>
        <x:v>7.919841059602649</x:v>
      </x:c>
    </x:row>
    <x:row r="235">
      <x:c r="A235" s="12" t="n">
        <x:f>'Weekly Projections'!BB255</x:f>
        <x:v>12</x:v>
      </x:c>
      <x:c r="B235" s="12" t="str">
        <x:f>'Weekly Projections'!A255</x:f>
        <x:v>Jake Ferguson</x:v>
      </x:c>
      <x:c r="C235" s="12" t="str">
        <x:f>'Weekly Projections'!B255</x:f>
        <x:v>DAL</x:v>
      </x:c>
      <x:c r="D235" s="12" t="str">
        <x:f>'Weekly Projections'!C255</x:f>
        <x:v>TE</x:v>
      </x:c>
      <x:c r="E235" s="12" t="n">
        <x:f>'Weekly Projections'!BA255</x:f>
        <x:v>3</x:v>
      </x:c>
      <x:c r="F235" s="17" t="n">
        <x:f>'Weekly Projections'!AW255</x:f>
        <x:v>7.91743046357616</x:v>
      </x:c>
    </x:row>
    <x:row r="236">
      <x:c r="A236" s="12" t="n">
        <x:f>'Weekly Projections'!BB250</x:f>
        <x:v>13</x:v>
      </x:c>
      <x:c r="B236" s="12" t="str">
        <x:f>'Weekly Projections'!A250</x:f>
        <x:v>Isaiah Likely</x:v>
      </x:c>
      <x:c r="C236" s="12" t="str">
        <x:f>'Weekly Projections'!B250</x:f>
        <x:v>NYG</x:v>
      </x:c>
      <x:c r="D236" s="12" t="str">
        <x:f>'Weekly Projections'!C250</x:f>
        <x:v>TE</x:v>
      </x:c>
      <x:c r="E236" s="12" t="n">
        <x:f>'Weekly Projections'!BA250</x:f>
        <x:v>2</x:v>
      </x:c>
      <x:c r="F236" s="17" t="n">
        <x:f>'Weekly Projections'!AW250</x:f>
        <x:v>7.79271586754967</x:v>
      </x:c>
    </x:row>
    <x:row r="237">
      <x:c r="A237" s="12" t="n">
        <x:f>'Weekly Projections'!BB256</x:f>
        <x:v>14</x:v>
      </x:c>
      <x:c r="B237" s="12" t="str">
        <x:f>'Weekly Projections'!A256</x:f>
        <x:v>Juwan Johnson</x:v>
      </x:c>
      <x:c r="C237" s="12" t="str">
        <x:f>'Weekly Projections'!B256</x:f>
        <x:v>NO</x:v>
      </x:c>
      <x:c r="D237" s="12" t="str">
        <x:f>'Weekly Projections'!C256</x:f>
        <x:v>TE</x:v>
      </x:c>
      <x:c r="E237" s="12" t="n">
        <x:f>'Weekly Projections'!BA256</x:f>
        <x:v>3</x:v>
      </x:c>
      <x:c r="F237" s="17" t="n">
        <x:f>'Weekly Projections'!AW256</x:f>
        <x:v>7.6408476821192055</x:v>
      </x:c>
    </x:row>
    <x:row r="238">
      <x:c r="A238" s="12" t="n">
        <x:f>'Weekly Projections'!BB247</x:f>
        <x:v>15</x:v>
      </x:c>
      <x:c r="B238" s="12" t="str">
        <x:f>'Weekly Projections'!A247</x:f>
        <x:v>Colston Loveland</x:v>
      </x:c>
      <x:c r="C238" s="12" t="str">
        <x:f>'Weekly Projections'!B247</x:f>
        <x:v>CHI</x:v>
      </x:c>
      <x:c r="D238" s="12" t="str">
        <x:f>'Weekly Projections'!C247</x:f>
        <x:v>TE</x:v>
      </x:c>
      <x:c r="E238" s="12" t="n">
        <x:f>'Weekly Projections'!BA247</x:f>
        <x:v>1</x:v>
      </x:c>
      <x:c r="F238" s="17" t="n">
        <x:f>'Weekly Projections'!AW247</x:f>
        <x:v>7.640000000000001</x:v>
      </x:c>
    </x:row>
    <x:row r="239">
      <x:c r="A239" s="12" t="n">
        <x:f>'Weekly Projections'!BB257</x:f>
        <x:v>16</x:v>
      </x:c>
      <x:c r="B239" s="12" t="str">
        <x:f>'Weekly Projections'!A257</x:f>
        <x:v>Brenton Strange</x:v>
      </x:c>
      <x:c r="C239" s="12" t="str">
        <x:f>'Weekly Projections'!B257</x:f>
        <x:v>JAC</x:v>
      </x:c>
      <x:c r="D239" s="12" t="str">
        <x:f>'Weekly Projections'!C257</x:f>
        <x:v>TE</x:v>
      </x:c>
      <x:c r="E239" s="12" t="n">
        <x:f>'Weekly Projections'!BA257</x:f>
        <x:v>3</x:v>
      </x:c>
      <x:c r="F239" s="17" t="n">
        <x:f>'Weekly Projections'!AW257</x:f>
        <x:v>7.442384105960265</x:v>
      </x:c>
    </x:row>
    <x:row r="240">
      <x:c r="A240" s="12" t="n">
        <x:f>'Weekly Projections'!BB258</x:f>
        <x:v>17</x:v>
      </x:c>
      <x:c r="B240" s="12" t="str">
        <x:f>'Weekly Projections'!A258</x:f>
        <x:v>Hunter Henry</x:v>
      </x:c>
      <x:c r="C240" s="12" t="str">
        <x:f>'Weekly Projections'!B258</x:f>
        <x:v>NE</x:v>
      </x:c>
      <x:c r="D240" s="12" t="str">
        <x:f>'Weekly Projections'!C258</x:f>
        <x:v>TE</x:v>
      </x:c>
      <x:c r="E240" s="12" t="n">
        <x:f>'Weekly Projections'!BA258</x:f>
        <x:v>3</x:v>
      </x:c>
      <x:c r="F240" s="17" t="n">
        <x:f>'Weekly Projections'!AW258</x:f>
        <x:v>7.397726092715233</x:v>
      </x:c>
    </x:row>
    <x:row r="241">
      <x:c r="A241" s="12" t="n">
        <x:f>'Weekly Projections'!BB259</x:f>
        <x:v>18</x:v>
      </x:c>
      <x:c r="B241" s="12" t="str">
        <x:f>'Weekly Projections'!A259</x:f>
        <x:v>Dalton Schultz</x:v>
      </x:c>
      <x:c r="C241" s="12" t="str">
        <x:f>'Weekly Projections'!B259</x:f>
        <x:v>HOU</x:v>
      </x:c>
      <x:c r="D241" s="12" t="str">
        <x:f>'Weekly Projections'!C259</x:f>
        <x:v>TE</x:v>
      </x:c>
      <x:c r="E241" s="12" t="n">
        <x:f>'Weekly Projections'!BA259</x:f>
        <x:v>3</x:v>
      </x:c>
      <x:c r="F241" s="17" t="n">
        <x:f>'Weekly Projections'!AW259</x:f>
        <x:v>7.146541774834439</x:v>
      </x:c>
    </x:row>
    <x:row r="242">
      <x:c r="A242" s="12" t="n">
        <x:f>'Weekly Projections'!BB260</x:f>
        <x:v>19</x:v>
      </x:c>
      <x:c r="B242" s="12" t="str">
        <x:f>'Weekly Projections'!A260</x:f>
        <x:v>AJ Barner</x:v>
      </x:c>
      <x:c r="C242" s="12" t="str">
        <x:f>'Weekly Projections'!B260</x:f>
        <x:v>SEA</x:v>
      </x:c>
      <x:c r="D242" s="12" t="str">
        <x:f>'Weekly Projections'!C260</x:f>
        <x:v>TE</x:v>
      </x:c>
      <x:c r="E242" s="12" t="n">
        <x:f>'Weekly Projections'!BA260</x:f>
        <x:v>4</x:v>
      </x:c>
      <x:c r="F242" s="17" t="n">
        <x:f>'Weekly Projections'!AW260</x:f>
        <x:v>6.547496688741724</x:v>
      </x:c>
    </x:row>
    <x:row r="243">
      <x:c r="A243" s="12" t="n">
        <x:f>'Weekly Projections'!BB261</x:f>
        <x:v>20</x:v>
      </x:c>
      <x:c r="B243" s="12" t="str">
        <x:f>'Weekly Projections'!A261</x:f>
        <x:v>Kyle Pitts Sr.</x:v>
      </x:c>
      <x:c r="C243" s="12" t="str">
        <x:f>'Weekly Projections'!B261</x:f>
        <x:v>ATL</x:v>
      </x:c>
      <x:c r="D243" s="12" t="str">
        <x:f>'Weekly Projections'!C261</x:f>
        <x:v>TE</x:v>
      </x:c>
      <x:c r="E243" s="12" t="n">
        <x:f>'Weekly Projections'!BA261</x:f>
        <x:v>4</x:v>
      </x:c>
      <x:c r="F243" s="17" t="n">
        <x:f>'Weekly Projections'!AW261</x:f>
        <x:v>6.061740927152319</x:v>
      </x:c>
    </x:row>
    <x:row r="244">
      <x:c r="A244" s="12" t="n">
        <x:f>'Weekly Projections'!BB262</x:f>
        <x:v>21</x:v>
      </x:c>
      <x:c r="B244" s="12" t="str">
        <x:f>'Weekly Projections'!A262</x:f>
        <x:v>Cade Otton</x:v>
      </x:c>
      <x:c r="C244" s="12" t="str">
        <x:f>'Weekly Projections'!B262</x:f>
        <x:v>TB</x:v>
      </x:c>
      <x:c r="D244" s="12" t="str">
        <x:f>'Weekly Projections'!C262</x:f>
        <x:v>TE</x:v>
      </x:c>
      <x:c r="E244" s="12" t="n">
        <x:f>'Weekly Projections'!BA262</x:f>
        <x:v>4</x:v>
      </x:c>
      <x:c r="F244" s="17" t="n">
        <x:f>'Weekly Projections'!AW262</x:f>
        <x:v>5.952985430463577</x:v>
      </x:c>
    </x:row>
    <x:row r="245">
      <x:c r="A245" s="12" t="n">
        <x:f>'Weekly Projections'!BB263</x:f>
        <x:v>22</x:v>
      </x:c>
      <x:c r="B245" s="12" t="str">
        <x:f>'Weekly Projections'!A263</x:f>
        <x:v>T.J. Hockenson</x:v>
      </x:c>
      <x:c r="C245" s="12" t="str">
        <x:f>'Weekly Projections'!B263</x:f>
        <x:v>MIN</x:v>
      </x:c>
      <x:c r="D245" s="12" t="str">
        <x:f>'Weekly Projections'!C263</x:f>
        <x:v>TE</x:v>
      </x:c>
      <x:c r="E245" s="12" t="n">
        <x:f>'Weekly Projections'!BA263</x:f>
        <x:v>4</x:v>
      </x:c>
      <x:c r="F245" s="17" t="n">
        <x:f>'Weekly Projections'!AW263</x:f>
        <x:v>5.799554437086093</x:v>
      </x:c>
    </x:row>
    <x:row r="246">
      <x:c r="A246" s="12" t="n">
        <x:f>'Weekly Projections'!BB264</x:f>
        <x:v>23</x:v>
      </x:c>
      <x:c r="B246" s="12" t="str">
        <x:f>'Weekly Projections'!A264</x:f>
        <x:v>Pat Freiermuth</x:v>
      </x:c>
      <x:c r="C246" s="12" t="str">
        <x:f>'Weekly Projections'!B264</x:f>
        <x:v>PIT</x:v>
      </x:c>
      <x:c r="D246" s="12" t="str">
        <x:f>'Weekly Projections'!C264</x:f>
        <x:v>TE</x:v>
      </x:c>
      <x:c r="E246" s="12" t="n">
        <x:f>'Weekly Projections'!BA264</x:f>
        <x:v>4</x:v>
      </x:c>
      <x:c r="F246" s="17" t="n">
        <x:f>'Weekly Projections'!AW264</x:f>
        <x:v>5.755443708609272</x:v>
      </x:c>
    </x:row>
    <x:row r="247">
      <x:c r="A247" s="12" t="n">
        <x:f>'Weekly Projections'!BB265</x:f>
        <x:v>24</x:v>
      </x:c>
      <x:c r="B247" s="12" t="str">
        <x:f>'Weekly Projections'!A265</x:f>
        <x:v>Kenyon Sadiq</x:v>
      </x:c>
      <x:c r="C247" s="12" t="str">
        <x:f>'Weekly Projections'!B265</x:f>
        <x:v>NYJ</x:v>
      </x:c>
      <x:c r="D247" s="12" t="str">
        <x:f>'Weekly Projections'!C265</x:f>
        <x:v>TE</x:v>
      </x:c>
      <x:c r="E247" s="12" t="n">
        <x:f>'Weekly Projections'!BA265</x:f>
        <x:v>4</x:v>
      </x:c>
      <x:c r="F247" s="17" t="n">
        <x:f>'Weekly Projections'!AW265</x:f>
        <x:v>5.738533509933775</x:v>
      </x:c>
    </x:row>
    <x:row r="248">
      <x:c r="A248" s="12" t="n">
        <x:f>'Weekly Projections'!BB266</x:f>
        <x:v>25</x:v>
      </x:c>
      <x:c r="B248" s="12" t="str">
        <x:f>'Weekly Projections'!A266</x:f>
        <x:v>Michael Mayer</x:v>
      </x:c>
      <x:c r="C248" s="12" t="str">
        <x:f>'Weekly Projections'!B266</x:f>
        <x:v>LV</x:v>
      </x:c>
      <x:c r="D248" s="12" t="str">
        <x:f>'Weekly Projections'!C266</x:f>
        <x:v>TE</x:v>
      </x:c>
      <x:c r="E248" s="12" t="n">
        <x:f>'Weekly Projections'!BA266</x:f>
        <x:v>5</x:v>
      </x:c>
      <x:c r="F248" s="17" t="n">
        <x:f>'Weekly Projections'!AW266</x:f>
        <x:v>5.1984021192053</x:v>
      </x:c>
    </x:row>
    <x:row r="249">
      <x:c r="A249" s="12" t="n">
        <x:f>'Weekly Projections'!BB267</x:f>
        <x:v>26</x:v>
      </x:c>
      <x:c r="B249" s="12" t="str">
        <x:f>'Weekly Projections'!A267</x:f>
        <x:v>Gunnar Helm</x:v>
      </x:c>
      <x:c r="C249" s="12" t="str">
        <x:f>'Weekly Projections'!B267</x:f>
        <x:v>TEN</x:v>
      </x:c>
      <x:c r="D249" s="12" t="str">
        <x:f>'Weekly Projections'!C267</x:f>
        <x:v>TE</x:v>
      </x:c>
      <x:c r="E249" s="12" t="n">
        <x:f>'Weekly Projections'!BA267</x:f>
        <x:v>5</x:v>
      </x:c>
      <x:c r="F249" s="17" t="n">
        <x:f>'Weekly Projections'!AW267</x:f>
        <x:v>5.155259337748346</x:v>
      </x:c>
    </x:row>
    <x:row r="250">
      <x:c r="A250" s="12" t="n">
        <x:f>'Weekly Projections'!BB268</x:f>
        <x:v>27</x:v>
      </x:c>
      <x:c r="B250" s="12" t="str">
        <x:f>'Weekly Projections'!A268</x:f>
        <x:v>Evan Engram</x:v>
      </x:c>
      <x:c r="C250" s="12" t="str">
        <x:f>'Weekly Projections'!B268</x:f>
        <x:v>DEN</x:v>
      </x:c>
      <x:c r="D250" s="12" t="str">
        <x:f>'Weekly Projections'!C268</x:f>
        <x:v>TE</x:v>
      </x:c>
      <x:c r="E250" s="12" t="n">
        <x:f>'Weekly Projections'!BA268</x:f>
        <x:v>5</x:v>
      </x:c>
      <x:c r="F250" s="17" t="n">
        <x:f>'Weekly Projections'!AW268</x:f>
        <x:v>5.120105960264901</x:v>
      </x:c>
    </x:row>
    <x:row r="251">
      <x:c r="A251" s="12" t="n">
        <x:f>'Weekly Projections'!BB269</x:f>
        <x:v>28</x:v>
      </x:c>
      <x:c r="B251" s="12" t="str">
        <x:f>'Weekly Projections'!A269</x:f>
        <x:v>Zach Ertz</x:v>
      </x:c>
      <x:c r="C251" s="12" t="str">
        <x:f>'Weekly Projections'!B269</x:f>
        <x:v>PHI</x:v>
      </x:c>
      <x:c r="D251" s="12" t="str">
        <x:f>'Weekly Projections'!C269</x:f>
        <x:v>TE</x:v>
      </x:c>
      <x:c r="E251" s="12" t="n">
        <x:f>'Weekly Projections'!BA269</x:f>
        <x:v>5</x:v>
      </x:c>
      <x:c r="F251" s="17" t="n">
        <x:f>'Weekly Projections'!AW269</x:f>
        <x:v>5.115017599999999</x:v>
      </x:c>
    </x:row>
    <x:row r="252">
      <x:c r="A252" s="12" t="n">
        <x:f>'Weekly Projections'!BB270</x:f>
        <x:v>29</x:v>
      </x:c>
      <x:c r="B252" s="12" t="str">
        <x:f>'Weekly Projections'!A270</x:f>
        <x:v>Chig Okonkwo</x:v>
      </x:c>
      <x:c r="C252" s="12" t="str">
        <x:f>'Weekly Projections'!B270</x:f>
        <x:v>WAS</x:v>
      </x:c>
      <x:c r="D252" s="12" t="str">
        <x:f>'Weekly Projections'!C270</x:f>
        <x:v>TE</x:v>
      </x:c>
      <x:c r="E252" s="12" t="n">
        <x:f>'Weekly Projections'!BA270</x:f>
        <x:v>5</x:v>
      </x:c>
      <x:c r="F252" s="17" t="n">
        <x:f>'Weekly Projections'!AW270</x:f>
        <x:v>4.848733668874173</x:v>
      </x:c>
    </x:row>
    <x:row r="253">
      <x:c r="A253" s="12" t="n">
        <x:f>'Weekly Projections'!BB271</x:f>
        <x:v>30</x:v>
      </x:c>
      <x:c r="B253" s="12" t="str">
        <x:f>'Weekly Projections'!A271</x:f>
        <x:v>Charlie Kolar</x:v>
      </x:c>
      <x:c r="C253" s="12" t="str">
        <x:f>'Weekly Projections'!B271</x:f>
        <x:v>LAC</x:v>
      </x:c>
      <x:c r="D253" s="12" t="str">
        <x:f>'Weekly Projections'!C271</x:f>
        <x:v>TE</x:v>
      </x:c>
      <x:c r="E253" s="12" t="n">
        <x:f>'Weekly Projections'!BA271</x:f>
        <x:v>5</x:v>
      </x:c>
      <x:c r="F253" s="17" t="n">
        <x:f>'Weekly Projections'!AW271</x:f>
        <x:v>4.785567152317882</x:v>
      </x:c>
    </x:row>
    <x:row r="254">
      <x:c r="A254" s="12" t="n">
        <x:f>'Weekly Projections'!BB272</x:f>
        <x:v>31</x:v>
      </x:c>
      <x:c r="B254" s="12" t="str">
        <x:f>'Weekly Projections'!A272</x:f>
        <x:v>David Njoku</x:v>
      </x:c>
      <x:c r="C254" s="12" t="str">
        <x:f>'Weekly Projections'!B272</x:f>
        <x:v>LAC</x:v>
      </x:c>
      <x:c r="D254" s="12" t="str">
        <x:f>'Weekly Projections'!C272</x:f>
        <x:v>TE</x:v>
      </x:c>
      <x:c r="E254" s="12" t="n">
        <x:f>'Weekly Projections'!BA272</x:f>
        <x:v>6</x:v>
      </x:c>
      <x:c r="F254" s="17" t="n">
        <x:f>'Weekly Projections'!AW272</x:f>
        <x:v>4.785567152317882</x:v>
      </x:c>
    </x:row>
    <x:row r="255">
      <x:c r="A255" s="12" t="n">
        <x:f>'Weekly Projections'!BB273</x:f>
        <x:v>32</x:v>
      </x:c>
      <x:c r="B255" s="12" t="str">
        <x:f>'Weekly Projections'!A273</x:f>
        <x:v>Oronde Gadsden II</x:v>
      </x:c>
      <x:c r="C255" s="12" t="str">
        <x:f>'Weekly Projections'!B273</x:f>
        <x:v>LAC</x:v>
      </x:c>
      <x:c r="D255" s="12" t="str">
        <x:f>'Weekly Projections'!C273</x:f>
        <x:v>TE</x:v>
      </x:c>
      <x:c r="E255" s="12" t="n">
        <x:f>'Weekly Projections'!BA273</x:f>
        <x:v>6</x:v>
      </x:c>
      <x:c r="F255" s="17" t="n">
        <x:f>'Weekly Projections'!AW273</x:f>
        <x:v>4.687902516556292</x:v>
      </x:c>
    </x:row>
    <x:row r="256">
      <x:c r="A256" s="12" t="n">
        <x:f>'Weekly Projections'!BB274</x:f>
        <x:v>33</x:v>
      </x:c>
      <x:c r="B256" s="12" t="str">
        <x:f>'Weekly Projections'!A274</x:f>
        <x:v>Mike Gesicki</x:v>
      </x:c>
      <x:c r="C256" s="12" t="str">
        <x:f>'Weekly Projections'!B274</x:f>
        <x:v>CIN</x:v>
      </x:c>
      <x:c r="D256" s="12" t="str">
        <x:f>'Weekly Projections'!C274</x:f>
        <x:v>TE</x:v>
      </x:c>
      <x:c r="E256" s="12" t="n">
        <x:f>'Weekly Projections'!BA274</x:f>
        <x:v>6</x:v>
      </x:c>
      <x:c r="F256" s="17" t="n">
        <x:f>'Weekly Projections'!AW274</x:f>
        <x:v>4.429823841059603</x:v>
      </x:c>
    </x:row>
    <x:row r="257">
      <x:c r="A257" s="12" t="n">
        <x:f>'Weekly Projections'!BB275</x:f>
        <x:v>34</x:v>
      </x:c>
      <x:c r="B257" s="12" t="str">
        <x:f>'Weekly Projections'!A275</x:f>
        <x:v>Greg Dulcich</x:v>
      </x:c>
      <x:c r="C257" s="12" t="str">
        <x:f>'Weekly Projections'!B275</x:f>
        <x:v>MIA</x:v>
      </x:c>
      <x:c r="D257" s="12" t="str">
        <x:f>'Weekly Projections'!C275</x:f>
        <x:v>TE</x:v>
      </x:c>
      <x:c r="E257" s="12" t="n">
        <x:f>'Weekly Projections'!BA275</x:f>
        <x:v>6</x:v>
      </x:c>
      <x:c r="F257" s="17" t="n">
        <x:f>'Weekly Projections'!AW275</x:f>
        <x:v>4.416568211920531</x:v>
      </x:c>
    </x:row>
    <x:row r="258">
      <x:c r="A258" s="12" t="n">
        <x:f>'Weekly Projections'!BB276</x:f>
        <x:v>35</x:v>
      </x:c>
      <x:c r="B258" s="12" t="str">
        <x:f>'Weekly Projections'!A276</x:f>
        <x:v>Darren Waller</x:v>
      </x:c>
      <x:c r="C258" s="12" t="str">
        <x:f>'Weekly Projections'!B276</x:f>
        <x:v>CAR</x:v>
      </x:c>
      <x:c r="D258" s="12" t="str">
        <x:f>'Weekly Projections'!C276</x:f>
        <x:v>TE</x:v>
      </x:c>
      <x:c r="E258" s="12" t="n">
        <x:f>'Weekly Projections'!BA276</x:f>
        <x:v>6</x:v>
      </x:c>
      <x:c r="F258" s="17" t="n">
        <x:f>'Weekly Projections'!AW276</x:f>
        <x:v>4.166770860927152</x:v>
      </x:c>
    </x:row>
    <x:row r="259">
      <x:c r="A259" s="12" t="n">
        <x:f>'Weekly Projections'!BB277</x:f>
        <x:v>36</x:v>
      </x:c>
      <x:c r="B259" s="12" t="str">
        <x:f>'Weekly Projections'!A277</x:f>
        <x:v>Colby Parkinson</x:v>
      </x:c>
      <x:c r="C259" s="12" t="str">
        <x:f>'Weekly Projections'!B277</x:f>
        <x:v>LAR</x:v>
      </x:c>
      <x:c r="D259" s="12" t="str">
        <x:f>'Weekly Projections'!C277</x:f>
        <x:v>TE</x:v>
      </x:c>
      <x:c r="E259" s="12" t="n">
        <x:f>'Weekly Projections'!BA277</x:f>
        <x:v>6</x:v>
      </x:c>
      <x:c r="F259" s="17" t="n">
        <x:f>'Weekly Projections'!AW277</x:f>
        <x:v>4.126906490066226</x:v>
      </x:c>
    </x:row>
    <x:row r="260">
      <x:c r="A260" s="12" t="n">
        <x:f>'Weekly Projections'!BB313</x:f>
        <x:v>1</x:v>
      </x:c>
      <x:c r="B260" s="12" t="str">
        <x:f>'Weekly Projections'!A313</x:f>
        <x:v>Baltimore Ravens</x:v>
      </x:c>
      <x:c r="C260" s="12" t="str">
        <x:f>'Weekly Projections'!B313</x:f>
        <x:v>BAL</x:v>
      </x:c>
      <x:c r="D260" s="12" t="str">
        <x:f>'Weekly Projections'!C313</x:f>
        <x:v>DST</x:v>
      </x:c>
      <x:c r="E260" s="12" t="n">
        <x:f>'Weekly Projections'!BA313</x:f>
        <x:v>1</x:v>
      </x:c>
      <x:c r="F260" s="17" t="n">
        <x:f>'Weekly Projections'!AW313</x:f>
        <x:v>9.6096</x:v>
      </x:c>
    </x:row>
    <x:row r="261">
      <x:c r="A261" s="12" t="n">
        <x:f>'Weekly Projections'!BB314</x:f>
        <x:v>2</x:v>
      </x:c>
      <x:c r="B261" s="12" t="str">
        <x:f>'Weekly Projections'!A314</x:f>
        <x:v>Seattle Seahawks</x:v>
      </x:c>
      <x:c r="C261" s="12" t="str">
        <x:f>'Weekly Projections'!B314</x:f>
        <x:v>SEA</x:v>
      </x:c>
      <x:c r="D261" s="12" t="str">
        <x:f>'Weekly Projections'!C314</x:f>
        <x:v>DST</x:v>
      </x:c>
      <x:c r="E261" s="12" t="n">
        <x:f>'Weekly Projections'!BA314</x:f>
        <x:v>1</x:v>
      </x:c>
      <x:c r="F261" s="17" t="n">
        <x:f>'Weekly Projections'!AW314</x:f>
        <x:v>9.27</x:v>
      </x:c>
    </x:row>
    <x:row r="262">
      <x:c r="A262" s="12" t="n">
        <x:f>'Weekly Projections'!BB315</x:f>
        <x:v>3</x:v>
      </x:c>
      <x:c r="B262" s="12" t="str">
        <x:f>'Weekly Projections'!A315</x:f>
        <x:v>Houston Texans</x:v>
      </x:c>
      <x:c r="C262" s="12" t="str">
        <x:f>'Weekly Projections'!B315</x:f>
        <x:v>HOU</x:v>
      </x:c>
      <x:c r="D262" s="12" t="str">
        <x:f>'Weekly Projections'!C315</x:f>
        <x:v>DST</x:v>
      </x:c>
      <x:c r="E262" s="12" t="n">
        <x:f>'Weekly Projections'!BA315</x:f>
        <x:v>1</x:v>
      </x:c>
      <x:c r="F262" s="17" t="n">
        <x:f>'Weekly Projections'!AW315</x:f>
        <x:v>9.075330000000001</x:v>
      </x:c>
    </x:row>
    <x:row r="263">
      <x:c r="A263" s="12" t="n">
        <x:f>'Weekly Projections'!BB316</x:f>
        <x:v>4</x:v>
      </x:c>
      <x:c r="B263" s="12" t="str">
        <x:f>'Weekly Projections'!A316</x:f>
        <x:v>Kansas City Chiefs</x:v>
      </x:c>
      <x:c r="C263" s="12" t="str">
        <x:f>'Weekly Projections'!B316</x:f>
        <x:v>KC</x:v>
      </x:c>
      <x:c r="D263" s="12" t="str">
        <x:f>'Weekly Projections'!C316</x:f>
        <x:v>DST</x:v>
      </x:c>
      <x:c r="E263" s="12" t="n">
        <x:f>'Weekly Projections'!BA316</x:f>
        <x:v>1</x:v>
      </x:c>
      <x:c r="F263" s="17" t="n">
        <x:f>'Weekly Projections'!AW316</x:f>
        <x:v>9.01765</x:v>
      </x:c>
    </x:row>
    <x:row r="264">
      <x:c r="A264" s="12" t="n">
        <x:f>'Weekly Projections'!BB317</x:f>
        <x:v>5</x:v>
      </x:c>
      <x:c r="B264" s="12" t="str">
        <x:f>'Weekly Projections'!A317</x:f>
        <x:v>Minnesota Vikings</x:v>
      </x:c>
      <x:c r="C264" s="12" t="str">
        <x:f>'Weekly Projections'!B317</x:f>
        <x:v>MIN</x:v>
      </x:c>
      <x:c r="D264" s="12" t="str">
        <x:f>'Weekly Projections'!C317</x:f>
        <x:v>DST</x:v>
      </x:c>
      <x:c r="E264" s="12" t="n">
        <x:f>'Weekly Projections'!BA317</x:f>
        <x:v>1</x:v>
      </x:c>
      <x:c r="F264" s="17" t="n">
        <x:f>'Weekly Projections'!AW317</x:f>
        <x:v>8.59914</x:v>
      </x:c>
    </x:row>
    <x:row r="265">
      <x:c r="A265" s="12" t="n">
        <x:f>'Weekly Projections'!BB318</x:f>
        <x:v>6</x:v>
      </x:c>
      <x:c r="B265" s="12" t="str">
        <x:f>'Weekly Projections'!A318</x:f>
        <x:v>Philadelphia Eagles</x:v>
      </x:c>
      <x:c r="C265" s="12" t="str">
        <x:f>'Weekly Projections'!B318</x:f>
        <x:v>PHI</x:v>
      </x:c>
      <x:c r="D265" s="12" t="str">
        <x:f>'Weekly Projections'!C318</x:f>
        <x:v>DST</x:v>
      </x:c>
      <x:c r="E265" s="12" t="n">
        <x:f>'Weekly Projections'!BA318</x:f>
        <x:v>1</x:v>
      </x:c>
      <x:c r="F265" s="17" t="n">
        <x:f>'Weekly Projections'!AW318</x:f>
        <x:v>8.50986</x:v>
      </x:c>
    </x:row>
    <x:row r="266">
      <x:c r="A266" s="12" t="n">
        <x:f>'Weekly Projections'!BB319</x:f>
        <x:v>7</x:v>
      </x:c>
      <x:c r="B266" s="12" t="str">
        <x:f>'Weekly Projections'!A319</x:f>
        <x:v>Los Angeles Chargers</x:v>
      </x:c>
      <x:c r="C266" s="12" t="str">
        <x:f>'Weekly Projections'!B319</x:f>
        <x:v>LAC</x:v>
      </x:c>
      <x:c r="D266" s="12" t="str">
        <x:f>'Weekly Projections'!C319</x:f>
        <x:v>DST</x:v>
      </x:c>
      <x:c r="E266" s="12" t="n">
        <x:f>'Weekly Projections'!BA319</x:f>
        <x:v>1</x:v>
      </x:c>
      <x:c r="F266" s="17" t="n">
        <x:f>'Weekly Projections'!AW319</x:f>
        <x:v>8.43552</x:v>
      </x:c>
    </x:row>
    <x:row r="267">
      <x:c r="A267" s="12" t="n">
        <x:f>'Weekly Projections'!BB320</x:f>
        <x:v>8</x:v>
      </x:c>
      <x:c r="B267" s="12" t="str">
        <x:f>'Weekly Projections'!A320</x:f>
        <x:v>Los Angeles Rams</x:v>
      </x:c>
      <x:c r="C267" s="12" t="str">
        <x:f>'Weekly Projections'!B320</x:f>
        <x:v>LAR</x:v>
      </x:c>
      <x:c r="D267" s="12" t="str">
        <x:f>'Weekly Projections'!C320</x:f>
        <x:v>DST</x:v>
      </x:c>
      <x:c r="E267" s="12" t="n">
        <x:f>'Weekly Projections'!BA320</x:f>
        <x:v>1</x:v>
      </x:c>
      <x:c r="F267" s="17" t="n">
        <x:f>'Weekly Projections'!AW320</x:f>
        <x:v>8.338880000000001</x:v>
      </x:c>
    </x:row>
    <x:row r="268">
      <x:c r="A268" s="12" t="n">
        <x:f>'Weekly Projections'!BB321</x:f>
        <x:v>9</x:v>
      </x:c>
      <x:c r="B268" s="12" t="str">
        <x:f>'Weekly Projections'!A321</x:f>
        <x:v>Detroit Lions</x:v>
      </x:c>
      <x:c r="C268" s="12" t="str">
        <x:f>'Weekly Projections'!B321</x:f>
        <x:v>DET</x:v>
      </x:c>
      <x:c r="D268" s="12" t="str">
        <x:f>'Weekly Projections'!C321</x:f>
        <x:v>DST</x:v>
      </x:c>
      <x:c r="E268" s="12" t="n">
        <x:f>'Weekly Projections'!BA321</x:f>
        <x:v>2</x:v>
      </x:c>
      <x:c r="F268" s="17" t="n">
        <x:f>'Weekly Projections'!AW321</x:f>
        <x:v>8.27502</x:v>
      </x:c>
    </x:row>
    <x:row r="269">
      <x:c r="A269" s="12" t="n">
        <x:f>'Weekly Projections'!BB322</x:f>
        <x:v>10</x:v>
      </x:c>
      <x:c r="B269" s="12" t="str">
        <x:f>'Weekly Projections'!A322</x:f>
        <x:v>Jacksonville Jaguars</x:v>
      </x:c>
      <x:c r="C269" s="12" t="str">
        <x:f>'Weekly Projections'!B322</x:f>
        <x:v>JAC</x:v>
      </x:c>
      <x:c r="D269" s="12" t="str">
        <x:f>'Weekly Projections'!C322</x:f>
        <x:v>DST</x:v>
      </x:c>
      <x:c r="E269" s="12" t="n">
        <x:f>'Weekly Projections'!BA322</x:f>
        <x:v>2</x:v>
      </x:c>
      <x:c r="F269" s="17" t="n">
        <x:f>'Weekly Projections'!AW322</x:f>
        <x:v>8.217000000000002</x:v>
      </x:c>
    </x:row>
    <x:row r="270">
      <x:c r="A270" s="12" t="n">
        <x:f>'Weekly Projections'!BB323</x:f>
        <x:v>11</x:v>
      </x:c>
      <x:c r="B270" s="12" t="str">
        <x:f>'Weekly Projections'!A323</x:f>
        <x:v>New England Patriots</x:v>
      </x:c>
      <x:c r="C270" s="12" t="str">
        <x:f>'Weekly Projections'!B323</x:f>
        <x:v>NE</x:v>
      </x:c>
      <x:c r="D270" s="12" t="str">
        <x:f>'Weekly Projections'!C323</x:f>
        <x:v>DST</x:v>
      </x:c>
      <x:c r="E270" s="12" t="n">
        <x:f>'Weekly Projections'!BA323</x:f>
        <x:v>2</x:v>
      </x:c>
      <x:c r="F270" s="17" t="n">
        <x:f>'Weekly Projections'!AW323</x:f>
        <x:v>8.19672</x:v>
      </x:c>
    </x:row>
    <x:row r="271">
      <x:c r="A271" s="12" t="n">
        <x:f>'Weekly Projections'!BB324</x:f>
        <x:v>12</x:v>
      </x:c>
      <x:c r="B271" s="12" t="str">
        <x:f>'Weekly Projections'!A324</x:f>
        <x:v>Green Bay Packers</x:v>
      </x:c>
      <x:c r="C271" s="12" t="str">
        <x:f>'Weekly Projections'!B324</x:f>
        <x:v>GB</x:v>
      </x:c>
      <x:c r="D271" s="12" t="str">
        <x:f>'Weekly Projections'!C324</x:f>
        <x:v>DST</x:v>
      </x:c>
      <x:c r="E271" s="12" t="n">
        <x:f>'Weekly Projections'!BA324</x:f>
        <x:v>2</x:v>
      </x:c>
      <x:c r="F271" s="17" t="n">
        <x:f>'Weekly Projections'!AW324</x:f>
        <x:v>8.16</x:v>
      </x:c>
    </x:row>
    <x:row r="272">
      <x:c r="A272" s="12" t="n">
        <x:f>'Weekly Projections'!BB325</x:f>
        <x:v>13</x:v>
      </x:c>
      <x:c r="B272" s="12" t="str">
        <x:f>'Weekly Projections'!A325</x:f>
        <x:v>San Francisco 49ers</x:v>
      </x:c>
      <x:c r="C272" s="12" t="str">
        <x:f>'Weekly Projections'!B325</x:f>
        <x:v>SF</x:v>
      </x:c>
      <x:c r="D272" s="12" t="str">
        <x:f>'Weekly Projections'!C325</x:f>
        <x:v>DST</x:v>
      </x:c>
      <x:c r="E272" s="12" t="n">
        <x:f>'Weekly Projections'!BA325</x:f>
        <x:v>2</x:v>
      </x:c>
      <x:c r="F272" s="17" t="n">
        <x:f>'Weekly Projections'!AW325</x:f>
        <x:v>8.16</x:v>
      </x:c>
    </x:row>
    <x:row r="273">
      <x:c r="A273" s="12" t="n">
        <x:f>'Weekly Projections'!BB326</x:f>
        <x:v>14</x:v>
      </x:c>
      <x:c r="B273" s="12" t="str">
        <x:f>'Weekly Projections'!A326</x:f>
        <x:v>Pittsburgh Steelers</x:v>
      </x:c>
      <x:c r="C273" s="12" t="str">
        <x:f>'Weekly Projections'!B326</x:f>
        <x:v>PIT</x:v>
      </x:c>
      <x:c r="D273" s="12" t="str">
        <x:f>'Weekly Projections'!C326</x:f>
        <x:v>DST</x:v>
      </x:c>
      <x:c r="E273" s="12" t="n">
        <x:f>'Weekly Projections'!BA326</x:f>
        <x:v>2</x:v>
      </x:c>
      <x:c r="F273" s="17" t="n">
        <x:f>'Weekly Projections'!AW326</x:f>
        <x:v>8.117999999999999</x:v>
      </x:c>
    </x:row>
    <x:row r="274">
      <x:c r="A274" s="12" t="n">
        <x:f>'Weekly Projections'!BB327</x:f>
        <x:v>15</x:v>
      </x:c>
      <x:c r="B274" s="12" t="str">
        <x:f>'Weekly Projections'!A327</x:f>
        <x:v>Buffalo Bills</x:v>
      </x:c>
      <x:c r="C274" s="12" t="str">
        <x:f>'Weekly Projections'!B327</x:f>
        <x:v>BUF</x:v>
      </x:c>
      <x:c r="D274" s="12" t="str">
        <x:f>'Weekly Projections'!C327</x:f>
        <x:v>DST</x:v>
      </x:c>
      <x:c r="E274" s="12" t="n">
        <x:f>'Weekly Projections'!BA327</x:f>
        <x:v>2</x:v>
      </x:c>
      <x:c r="F274" s="17" t="n">
        <x:f>'Weekly Projections'!AW327</x:f>
        <x:v>8.051680000000001</x:v>
      </x:c>
    </x:row>
    <x:row r="275">
      <x:c r="A275" s="12" t="n">
        <x:f>'Weekly Projections'!BB328</x:f>
        <x:v>16</x:v>
      </x:c>
      <x:c r="B275" s="12" t="str">
        <x:f>'Weekly Projections'!A328</x:f>
        <x:v>Denver Broncos</x:v>
      </x:c>
      <x:c r="C275" s="12" t="str">
        <x:f>'Weekly Projections'!B328</x:f>
        <x:v>DEN</x:v>
      </x:c>
      <x:c r="D275" s="12" t="str">
        <x:f>'Weekly Projections'!C328</x:f>
        <x:v>DST</x:v>
      </x:c>
      <x:c r="E275" s="12" t="n">
        <x:f>'Weekly Projections'!BA328</x:f>
        <x:v>2</x:v>
      </x:c>
      <x:c r="F275" s="17" t="n">
        <x:f>'Weekly Projections'!AW328</x:f>
        <x:v>8.036</x:v>
      </x:c>
    </x:row>
    <x:row r="276">
      <x:c r="A276" s="12" t="n">
        <x:f>'Weekly Projections'!BB329</x:f>
        <x:v>17</x:v>
      </x:c>
      <x:c r="B276" s="12" t="str">
        <x:f>'Weekly Projections'!A329</x:f>
        <x:v>Cleveland Browns</x:v>
      </x:c>
      <x:c r="C276" s="12" t="str">
        <x:f>'Weekly Projections'!B329</x:f>
        <x:v>CLE</x:v>
      </x:c>
      <x:c r="D276" s="12" t="str">
        <x:f>'Weekly Projections'!C329</x:f>
        <x:v>DST</x:v>
      </x:c>
      <x:c r="E276" s="12" t="n">
        <x:f>'Weekly Projections'!BA329</x:f>
        <x:v>3</x:v>
      </x:c>
      <x:c r="F276" s="17" t="n">
        <x:f>'Weekly Projections'!AW329</x:f>
        <x:v>7.666879999999999</x:v>
      </x:c>
    </x:row>
    <x:row r="277">
      <x:c r="A277" s="12" t="n">
        <x:f>'Weekly Projections'!BB330</x:f>
        <x:v>18</x:v>
      </x:c>
      <x:c r="B277" s="12" t="str">
        <x:f>'Weekly Projections'!A330</x:f>
        <x:v>New Orleans Saints</x:v>
      </x:c>
      <x:c r="C277" s="12" t="str">
        <x:f>'Weekly Projections'!B330</x:f>
        <x:v>NO</x:v>
      </x:c>
      <x:c r="D277" s="12" t="str">
        <x:f>'Weekly Projections'!C330</x:f>
        <x:v>DST</x:v>
      </x:c>
      <x:c r="E277" s="12" t="n">
        <x:f>'Weekly Projections'!BA330</x:f>
        <x:v>3</x:v>
      </x:c>
      <x:c r="F277" s="17" t="n">
        <x:f>'Weekly Projections'!AW330</x:f>
        <x:v>7.622999999999999</x:v>
      </x:c>
    </x:row>
    <x:row r="278">
      <x:c r="A278" s="12" t="n">
        <x:f>'Weekly Projections'!BB331</x:f>
        <x:v>19</x:v>
      </x:c>
      <x:c r="B278" s="12" t="str">
        <x:f>'Weekly Projections'!A331</x:f>
        <x:v>Indianapolis Colts</x:v>
      </x:c>
      <x:c r="C278" s="12" t="str">
        <x:f>'Weekly Projections'!B331</x:f>
        <x:v>IND</x:v>
      </x:c>
      <x:c r="D278" s="12" t="str">
        <x:f>'Weekly Projections'!C331</x:f>
        <x:v>DST</x:v>
      </x:c>
      <x:c r="E278" s="12" t="n">
        <x:f>'Weekly Projections'!BA331</x:f>
        <x:v>3</x:v>
      </x:c>
      <x:c r="F278" s="17" t="n">
        <x:f>'Weekly Projections'!AW331</x:f>
        <x:v>7.22</x:v>
      </x:c>
    </x:row>
    <x:row r="279">
      <x:c r="A279" s="12" t="n">
        <x:f>'Weekly Projections'!BB332</x:f>
        <x:v>20</x:v>
      </x:c>
      <x:c r="B279" s="12" t="str">
        <x:f>'Weekly Projections'!A332</x:f>
        <x:v>Tampa Bay Buccaneers</x:v>
      </x:c>
      <x:c r="C279" s="12" t="str">
        <x:f>'Weekly Projections'!B332</x:f>
        <x:v>TB</x:v>
      </x:c>
      <x:c r="D279" s="12" t="str">
        <x:f>'Weekly Projections'!C332</x:f>
        <x:v>DST</x:v>
      </x:c>
      <x:c r="E279" s="12" t="n">
        <x:f>'Weekly Projections'!BA332</x:f>
        <x:v>3</x:v>
      </x:c>
      <x:c r="F279" s="17" t="n">
        <x:f>'Weekly Projections'!AW332</x:f>
        <x:v>7.12656</x:v>
      </x:c>
    </x:row>
    <x:row r="280">
      <x:c r="A280" s="12" t="n">
        <x:f>'Weekly Projections'!BB333</x:f>
        <x:v>21</x:v>
      </x:c>
      <x:c r="B280" s="12" t="str">
        <x:f>'Weekly Projections'!A333</x:f>
        <x:v>New York Giants</x:v>
      </x:c>
      <x:c r="C280" s="12" t="str">
        <x:f>'Weekly Projections'!B333</x:f>
        <x:v>NYG</x:v>
      </x:c>
      <x:c r="D280" s="12" t="str">
        <x:f>'Weekly Projections'!C333</x:f>
        <x:v>DST</x:v>
      </x:c>
      <x:c r="E280" s="12" t="n">
        <x:f>'Weekly Projections'!BA333</x:f>
        <x:v>3</x:v>
      </x:c>
      <x:c r="F280" s="17" t="n">
        <x:f>'Weekly Projections'!AW333</x:f>
        <x:v>7.0502400000000005</x:v>
      </x:c>
    </x:row>
    <x:row r="281">
      <x:c r="A281" s="12" t="n">
        <x:f>'Weekly Projections'!BB334</x:f>
        <x:v>22</x:v>
      </x:c>
      <x:c r="B281" s="12" t="str">
        <x:f>'Weekly Projections'!A334</x:f>
        <x:v>Dallas Cowboys</x:v>
      </x:c>
      <x:c r="C281" s="12" t="str">
        <x:f>'Weekly Projections'!B334</x:f>
        <x:v>DAL</x:v>
      </x:c>
      <x:c r="D281" s="12" t="str">
        <x:f>'Weekly Projections'!C334</x:f>
        <x:v>DST</x:v>
      </x:c>
      <x:c r="E281" s="12" t="n">
        <x:f>'Weekly Projections'!BA334</x:f>
        <x:v>3</x:v>
      </x:c>
      <x:c r="F281" s="17" t="n">
        <x:f>'Weekly Projections'!AW334</x:f>
        <x:v>7.05</x:v>
      </x:c>
    </x:row>
    <x:row r="282">
      <x:c r="A282" s="12" t="n">
        <x:f>'Weekly Projections'!BB335</x:f>
        <x:v>23</x:v>
      </x:c>
      <x:c r="B282" s="12" t="str">
        <x:f>'Weekly Projections'!A335</x:f>
        <x:v>Cincinnati Bengals</x:v>
      </x:c>
      <x:c r="C282" s="12" t="str">
        <x:f>'Weekly Projections'!B335</x:f>
        <x:v>CIN</x:v>
      </x:c>
      <x:c r="D282" s="12" t="str">
        <x:f>'Weekly Projections'!C335</x:f>
        <x:v>DST</x:v>
      </x:c>
      <x:c r="E282" s="12" t="n">
        <x:f>'Weekly Projections'!BA335</x:f>
        <x:v>3</x:v>
      </x:c>
      <x:c r="F282" s="17" t="n">
        <x:f>'Weekly Projections'!AW335</x:f>
        <x:v>6.857900000000001</x:v>
      </x:c>
    </x:row>
    <x:row r="283">
      <x:c r="A283" s="12" t="n">
        <x:f>'Weekly Projections'!BB336</x:f>
        <x:v>24</x:v>
      </x:c>
      <x:c r="B283" s="12" t="str">
        <x:f>'Weekly Projections'!A336</x:f>
        <x:v>Tennessee Titans</x:v>
      </x:c>
      <x:c r="C283" s="12" t="str">
        <x:f>'Weekly Projections'!B336</x:f>
        <x:v>TEN</x:v>
      </x:c>
      <x:c r="D283" s="12" t="str">
        <x:f>'Weekly Projections'!C336</x:f>
        <x:v>DST</x:v>
      </x:c>
      <x:c r="E283" s="12" t="n">
        <x:f>'Weekly Projections'!BA336</x:f>
        <x:v>3</x:v>
      </x:c>
      <x:c r="F283" s="17" t="n">
        <x:f>'Weekly Projections'!AW336</x:f>
        <x:v>6.82272</x:v>
      </x:c>
    </x:row>
    <x:row r="284">
      <x:c r="A284" s="12" t="n">
        <x:f>'Weekly Projections'!BB337</x:f>
        <x:v>25</x:v>
      </x:c>
      <x:c r="B284" s="12" t="str">
        <x:f>'Weekly Projections'!A337</x:f>
        <x:v>Atlanta Falcons</x:v>
      </x:c>
      <x:c r="C284" s="12" t="str">
        <x:f>'Weekly Projections'!B337</x:f>
        <x:v>ATL</x:v>
      </x:c>
      <x:c r="D284" s="12" t="str">
        <x:f>'Weekly Projections'!C337</x:f>
        <x:v>DST</x:v>
      </x:c>
      <x:c r="E284" s="12" t="n">
        <x:f>'Weekly Projections'!BA337</x:f>
        <x:v>4</x:v>
      </x:c>
      <x:c r="F284" s="17" t="n">
        <x:f>'Weekly Projections'!AW337</x:f>
        <x:v>6.7977599999999985</x:v>
      </x:c>
    </x:row>
    <x:row r="285">
      <x:c r="A285" s="12" t="n">
        <x:f>'Weekly Projections'!BB338</x:f>
        <x:v>26</x:v>
      </x:c>
      <x:c r="B285" s="12" t="str">
        <x:f>'Weekly Projections'!A338</x:f>
        <x:v>Las Vegas Raiders</x:v>
      </x:c>
      <x:c r="C285" s="12" t="str">
        <x:f>'Weekly Projections'!B338</x:f>
        <x:v>LV</x:v>
      </x:c>
      <x:c r="D285" s="12" t="str">
        <x:f>'Weekly Projections'!C338</x:f>
        <x:v>DST</x:v>
      </x:c>
      <x:c r="E285" s="12" t="n">
        <x:f>'Weekly Projections'!BA338</x:f>
        <x:v>4</x:v>
      </x:c>
      <x:c r="F285" s="17" t="n">
        <x:f>'Weekly Projections'!AW338</x:f>
        <x:v>6.697320000000001</x:v>
      </x:c>
    </x:row>
    <x:row r="286">
      <x:c r="A286" s="12" t="n">
        <x:f>'Weekly Projections'!BB339</x:f>
        <x:v>27</x:v>
      </x:c>
      <x:c r="B286" s="12" t="str">
        <x:f>'Weekly Projections'!A339</x:f>
        <x:v>Chicago Bears</x:v>
      </x:c>
      <x:c r="C286" s="12" t="str">
        <x:f>'Weekly Projections'!B339</x:f>
        <x:v>CHI</x:v>
      </x:c>
      <x:c r="D286" s="12" t="str">
        <x:f>'Weekly Projections'!C339</x:f>
        <x:v>DST</x:v>
      </x:c>
      <x:c r="E286" s="12" t="n">
        <x:f>'Weekly Projections'!BA339</x:f>
        <x:v>4</x:v>
      </x:c>
      <x:c r="F286" s="17" t="n">
        <x:f>'Weekly Projections'!AW339</x:f>
        <x:v>6.677760000000001</x:v>
      </x:c>
    </x:row>
    <x:row r="287">
      <x:c r="A287" s="12" t="n">
        <x:f>'Weekly Projections'!BB340</x:f>
        <x:v>28</x:v>
      </x:c>
      <x:c r="B287" s="12" t="str">
        <x:f>'Weekly Projections'!A340</x:f>
        <x:v>New York Jets</x:v>
      </x:c>
      <x:c r="C287" s="12" t="str">
        <x:f>'Weekly Projections'!B340</x:f>
        <x:v>NYJ</x:v>
      </x:c>
      <x:c r="D287" s="12" t="str">
        <x:f>'Weekly Projections'!C340</x:f>
        <x:v>DST</x:v>
      </x:c>
      <x:c r="E287" s="12" t="n">
        <x:f>'Weekly Projections'!BA340</x:f>
        <x:v>4</x:v>
      </x:c>
      <x:c r="F287" s="17" t="n">
        <x:f>'Weekly Projections'!AW340</x:f>
        <x:v>6.658079999999998</x:v>
      </x:c>
    </x:row>
    <x:row r="288">
      <x:c r="A288" s="12" t="n">
        <x:f>'Weekly Projections'!BB341</x:f>
        <x:v>29</x:v>
      </x:c>
      <x:c r="B288" s="12" t="str">
        <x:f>'Weekly Projections'!A341</x:f>
        <x:v>Carolina Panthers</x:v>
      </x:c>
      <x:c r="C288" s="12" t="str">
        <x:f>'Weekly Projections'!B341</x:f>
        <x:v>CAR</x:v>
      </x:c>
      <x:c r="D288" s="12" t="str">
        <x:f>'Weekly Projections'!C341</x:f>
        <x:v>DST</x:v>
      </x:c>
      <x:c r="E288" s="12" t="n">
        <x:f>'Weekly Projections'!BA341</x:f>
        <x:v>4</x:v>
      </x:c>
      <x:c r="F288" s="17" t="n">
        <x:f>'Weekly Projections'!AW341</x:f>
        <x:v>6.610099999999999</x:v>
      </x:c>
    </x:row>
    <x:row r="289">
      <x:c r="A289" s="12" t="n">
        <x:f>'Weekly Projections'!BB342</x:f>
        <x:v>30</x:v>
      </x:c>
      <x:c r="B289" s="12" t="str">
        <x:f>'Weekly Projections'!A342</x:f>
        <x:v>Washington Commanders</x:v>
      </x:c>
      <x:c r="C289" s="12" t="str">
        <x:f>'Weekly Projections'!B342</x:f>
        <x:v>WAS</x:v>
      </x:c>
      <x:c r="D289" s="12" t="str">
        <x:f>'Weekly Projections'!C342</x:f>
        <x:v>DST</x:v>
      </x:c>
      <x:c r="E289" s="12" t="n">
        <x:f>'Weekly Projections'!BA342</x:f>
        <x:v>4</x:v>
      </x:c>
      <x:c r="F289" s="17" t="n">
        <x:f>'Weekly Projections'!AW342</x:f>
        <x:v>6.464079999999999</x:v>
      </x:c>
    </x:row>
    <x:row r="290">
      <x:c r="A290" s="12" t="n">
        <x:f>'Weekly Projections'!BB343</x:f>
        <x:v>31</x:v>
      </x:c>
      <x:c r="B290" s="12" t="str">
        <x:f>'Weekly Projections'!A343</x:f>
        <x:v>Miami Dolphins</x:v>
      </x:c>
      <x:c r="C290" s="12" t="str">
        <x:f>'Weekly Projections'!B343</x:f>
        <x:v>MIA</x:v>
      </x:c>
      <x:c r="D290" s="12" t="str">
        <x:f>'Weekly Projections'!C343</x:f>
        <x:v>DST</x:v>
      </x:c>
      <x:c r="E290" s="12" t="n">
        <x:f>'Weekly Projections'!BA343</x:f>
        <x:v>4</x:v>
      </x:c>
      <x:c r="F290" s="17" t="n">
        <x:f>'Weekly Projections'!AW343</x:f>
        <x:v>6.2662</x:v>
      </x:c>
    </x:row>
    <x:row r="291">
      <x:c r="A291" s="12" t="n">
        <x:f>'Weekly Projections'!BB344</x:f>
        <x:v>32</x:v>
      </x:c>
      <x:c r="B291" s="12" t="str">
        <x:f>'Weekly Projections'!A344</x:f>
        <x:v>Arizona Cardinals</x:v>
      </x:c>
      <x:c r="C291" s="12" t="str">
        <x:f>'Weekly Projections'!B344</x:f>
        <x:v>ARI</x:v>
      </x:c>
      <x:c r="D291" s="12" t="str">
        <x:f>'Weekly Projections'!C344</x:f>
        <x:v>DST</x:v>
      </x:c>
      <x:c r="E291" s="12" t="n">
        <x:f>'Weekly Projections'!BA344</x:f>
        <x:v>4</x:v>
      </x:c>
      <x:c r="F291" s="17" t="n">
        <x:f>'Weekly Projections'!AW344</x:f>
        <x:v>6.109999999999999</x:v>
      </x:c>
    </x:row>
    <x:row r="292">
      <x:c r="A292" s="12" t="n">
        <x:f>'Weekly Projections'!BB279</x:f>
        <x:v>1</x:v>
      </x:c>
      <x:c r="B292" s="12" t="str">
        <x:f>'Weekly Projections'!A279</x:f>
        <x:v>Tyler Loop</x:v>
      </x:c>
      <x:c r="C292" s="12" t="str">
        <x:f>'Weekly Projections'!B279</x:f>
        <x:v>BAL</x:v>
      </x:c>
      <x:c r="D292" s="12" t="str">
        <x:f>'Weekly Projections'!C279</x:f>
        <x:v>K</x:v>
      </x:c>
      <x:c r="E292" s="12" t="n">
        <x:f>'Weekly Projections'!BA279</x:f>
        <x:v>1</x:v>
      </x:c>
      <x:c r="F292" s="17" t="n">
        <x:f>'Weekly Projections'!AW279</x:f>
        <x:v>9.718800000000002</x:v>
      </x:c>
    </x:row>
    <x:row r="293">
      <x:c r="A293" s="12" t="n">
        <x:f>'Weekly Projections'!BB280</x:f>
        <x:v>2</x:v>
      </x:c>
      <x:c r="B293" s="12" t="str">
        <x:f>'Weekly Projections'!A280</x:f>
        <x:v>Ka'imi Fairbairn</x:v>
      </x:c>
      <x:c r="C293" s="12" t="str">
        <x:f>'Weekly Projections'!B280</x:f>
        <x:v>HOU</x:v>
      </x:c>
      <x:c r="D293" s="12" t="str">
        <x:f>'Weekly Projections'!C280</x:f>
        <x:v>K</x:v>
      </x:c>
      <x:c r="E293" s="12" t="n">
        <x:f>'Weekly Projections'!BA280</x:f>
        <x:v>1</x:v>
      </x:c>
      <x:c r="F293" s="17" t="n">
        <x:f>'Weekly Projections'!AW280</x:f>
        <x:v>9.48321</x:v>
      </x:c>
    </x:row>
    <x:row r="294">
      <x:c r="A294" s="12" t="n">
        <x:f>'Weekly Projections'!BB281</x:f>
        <x:v>3</x:v>
      </x:c>
      <x:c r="B294" s="12" t="str">
        <x:f>'Weekly Projections'!A281</x:f>
        <x:v>Jason Myers</x:v>
      </x:c>
      <x:c r="C294" s="12" t="str">
        <x:f>'Weekly Projections'!B281</x:f>
        <x:v>SEA</x:v>
      </x:c>
      <x:c r="D294" s="12" t="str">
        <x:f>'Weekly Projections'!C281</x:f>
        <x:v>K</x:v>
      </x:c>
      <x:c r="E294" s="12" t="n">
        <x:f>'Weekly Projections'!BA281</x:f>
        <x:v>1</x:v>
      </x:c>
      <x:c r="F294" s="17" t="n">
        <x:f>'Weekly Projections'!AW281</x:f>
        <x:v>9.475999999999999</x:v>
      </x:c>
    </x:row>
    <x:row r="295">
      <x:c r="A295" s="12" t="n">
        <x:f>'Weekly Projections'!BB282</x:f>
        <x:v>4</x:v>
      </x:c>
      <x:c r="B295" s="12" t="str">
        <x:f>'Weekly Projections'!A282</x:f>
        <x:v>Harrison Butker</x:v>
      </x:c>
      <x:c r="C295" s="12" t="str">
        <x:f>'Weekly Projections'!B282</x:f>
        <x:v>KC</x:v>
      </x:c>
      <x:c r="D295" s="12" t="str">
        <x:f>'Weekly Projections'!C282</x:f>
        <x:v>K</x:v>
      </x:c>
      <x:c r="E295" s="12" t="n">
        <x:f>'Weekly Projections'!BA282</x:f>
        <x:v>1</x:v>
      </x:c>
      <x:c r="F295" s="17" t="n">
        <x:f>'Weekly Projections'!AW282</x:f>
        <x:v>9.33592</x:v>
      </x:c>
    </x:row>
    <x:row r="296">
      <x:c r="A296" s="12" t="n">
        <x:f>'Weekly Projections'!BB283</x:f>
        <x:v>5</x:v>
      </x:c>
      <x:c r="B296" s="12" t="str">
        <x:f>'Weekly Projections'!A283</x:f>
        <x:v>Jake Bates</x:v>
      </x:c>
      <x:c r="C296" s="12" t="str">
        <x:f>'Weekly Projections'!B283</x:f>
        <x:v>DET</x:v>
      </x:c>
      <x:c r="D296" s="12" t="str">
        <x:f>'Weekly Projections'!C283</x:f>
        <x:v>K</x:v>
      </x:c>
      <x:c r="E296" s="12" t="n">
        <x:f>'Weekly Projections'!BA283</x:f>
        <x:v>1</x:v>
      </x:c>
      <x:c r="F296" s="17" t="n">
        <x:f>'Weekly Projections'!AW283</x:f>
        <x:v>9.33592</x:v>
      </x:c>
    </x:row>
    <x:row r="297">
      <x:c r="A297" s="12" t="n">
        <x:f>'Weekly Projections'!BB284</x:f>
        <x:v>6</x:v>
      </x:c>
      <x:c r="B297" s="12" t="str">
        <x:f>'Weekly Projections'!A284</x:f>
        <x:v>Cameron Dicker</x:v>
      </x:c>
      <x:c r="C297" s="12" t="str">
        <x:f>'Weekly Projections'!B284</x:f>
        <x:v>LAC</x:v>
      </x:c>
      <x:c r="D297" s="12" t="str">
        <x:f>'Weekly Projections'!C284</x:f>
        <x:v>K</x:v>
      </x:c>
      <x:c r="E297" s="12" t="n">
        <x:f>'Weekly Projections'!BA284</x:f>
        <x:v>1</x:v>
      </x:c>
      <x:c r="F297" s="17" t="n">
        <x:f>'Weekly Projections'!AW284</x:f>
        <x:v>9.017280000000001</x:v>
      </x:c>
    </x:row>
    <x:row r="298">
      <x:c r="A298" s="12" t="n">
        <x:f>'Weekly Projections'!BB285</x:f>
        <x:v>7</x:v>
      </x:c>
      <x:c r="B298" s="12" t="str">
        <x:f>'Weekly Projections'!A285</x:f>
        <x:v>Cam Little</x:v>
      </x:c>
      <x:c r="C298" s="12" t="str">
        <x:f>'Weekly Projections'!B285</x:f>
        <x:v>JAC</x:v>
      </x:c>
      <x:c r="D298" s="12" t="str">
        <x:f>'Weekly Projections'!C285</x:f>
        <x:v>K</x:v>
      </x:c>
      <x:c r="E298" s="12" t="n">
        <x:f>'Weekly Projections'!BA285</x:f>
        <x:v>1</x:v>
      </x:c>
      <x:c r="F298" s="17" t="n">
        <x:f>'Weekly Projections'!AW285</x:f>
        <x:v>9.008999999999999</x:v>
      </x:c>
    </x:row>
    <x:row r="299">
      <x:c r="A299" s="12" t="n">
        <x:f>'Weekly Projections'!BB286</x:f>
        <x:v>8</x:v>
      </x:c>
      <x:c r="B299" s="12" t="str">
        <x:f>'Weekly Projections'!A286</x:f>
        <x:v>Chris Boswell</x:v>
      </x:c>
      <x:c r="C299" s="12" t="str">
        <x:f>'Weekly Projections'!B286</x:f>
        <x:v>PIT</x:v>
      </x:c>
      <x:c r="D299" s="12" t="str">
        <x:f>'Weekly Projections'!C286</x:f>
        <x:v>K</x:v>
      </x:c>
      <x:c r="E299" s="12" t="n">
        <x:f>'Weekly Projections'!BA286</x:f>
        <x:v>1</x:v>
      </x:c>
      <x:c r="F299" s="17" t="n">
        <x:f>'Weekly Projections'!AW286</x:f>
        <x:v>8.91</x:v>
      </x:c>
    </x:row>
    <x:row r="300">
      <x:c r="A300" s="12" t="n">
        <x:f>'Weekly Projections'!BB287</x:f>
        <x:v>9</x:v>
      </x:c>
      <x:c r="B300" s="12" t="str">
        <x:f>'Weekly Projections'!A287</x:f>
        <x:v>Brandon Aubrey</x:v>
      </x:c>
      <x:c r="C300" s="12" t="str">
        <x:f>'Weekly Projections'!B287</x:f>
        <x:v>DAL</x:v>
      </x:c>
      <x:c r="D300" s="12" t="str">
        <x:f>'Weekly Projections'!C287</x:f>
        <x:v>K</x:v>
      </x:c>
      <x:c r="E300" s="12" t="n">
        <x:f>'Weekly Projections'!BA287</x:f>
        <x:v>2</x:v>
      </x:c>
      <x:c r="F300" s="17" t="n">
        <x:f>'Weekly Projections'!AW287</x:f>
        <x:v>8.835999999999999</x:v>
      </x:c>
    </x:row>
    <x:row r="301">
      <x:c r="A301" s="12" t="n">
        <x:f>'Weekly Projections'!BB288</x:f>
        <x:v>10</x:v>
      </x:c>
      <x:c r="B301" s="12" t="str">
        <x:f>'Weekly Projections'!A288</x:f>
        <x:v>Eddy Pineiro</x:v>
      </x:c>
      <x:c r="C301" s="12" t="str">
        <x:f>'Weekly Projections'!B288</x:f>
        <x:v>SF</x:v>
      </x:c>
      <x:c r="D301" s="12" t="str">
        <x:f>'Weekly Projections'!C288</x:f>
        <x:v>K</x:v>
      </x:c>
      <x:c r="E301" s="12" t="n">
        <x:f>'Weekly Projections'!BA288</x:f>
        <x:v>2</x:v>
      </x:c>
      <x:c r="F301" s="17" t="n">
        <x:f>'Weekly Projections'!AW288</x:f>
        <x:v>8.772</x:v>
      </x:c>
    </x:row>
    <x:row r="302">
      <x:c r="A302" s="12" t="n">
        <x:f>'Weekly Projections'!BB289</x:f>
        <x:v>11</x:v>
      </x:c>
      <x:c r="B302" s="12" t="str">
        <x:f>'Weekly Projections'!A289</x:f>
        <x:v>Will Reichard</x:v>
      </x:c>
      <x:c r="C302" s="12" t="str">
        <x:f>'Weekly Projections'!B289</x:f>
        <x:v>MIN</x:v>
      </x:c>
      <x:c r="D302" s="12" t="str">
        <x:f>'Weekly Projections'!C289</x:f>
        <x:v>K</x:v>
      </x:c>
      <x:c r="E302" s="12" t="n">
        <x:f>'Weekly Projections'!BA289</x:f>
        <x:v>2</x:v>
      </x:c>
      <x:c r="F302" s="17" t="n">
        <x:f>'Weekly Projections'!AW289</x:f>
        <x:v>8.69913</x:v>
      </x:c>
    </x:row>
    <x:row r="303">
      <x:c r="A303" s="12" t="n">
        <x:f>'Weekly Projections'!BB290</x:f>
        <x:v>12</x:v>
      </x:c>
      <x:c r="B303" s="12" t="str">
        <x:f>'Weekly Projections'!A290</x:f>
        <x:v>Harrison Mevis</x:v>
      </x:c>
      <x:c r="C303" s="12" t="str">
        <x:f>'Weekly Projections'!B290</x:f>
        <x:v>LAR</x:v>
      </x:c>
      <x:c r="D303" s="12" t="str">
        <x:f>'Weekly Projections'!C290</x:f>
        <x:v>K</x:v>
      </x:c>
      <x:c r="E303" s="12" t="n">
        <x:f>'Weekly Projections'!BA290</x:f>
        <x:v>2</x:v>
      </x:c>
      <x:c r="F303" s="17" t="n">
        <x:f>'Weekly Projections'!AW290</x:f>
        <x:v>8.623159999999999</x:v>
      </x:c>
    </x:row>
    <x:row r="304">
      <x:c r="A304" s="12" t="n">
        <x:f>'Weekly Projections'!BB291</x:f>
        <x:v>13</x:v>
      </x:c>
      <x:c r="B304" s="12" t="str">
        <x:f>'Weekly Projections'!A291</x:f>
        <x:v>Jake Elliott</x:v>
      </x:c>
      <x:c r="C304" s="12" t="str">
        <x:f>'Weekly Projections'!B291</x:f>
        <x:v>PHI</x:v>
      </x:c>
      <x:c r="D304" s="12" t="str">
        <x:f>'Weekly Projections'!C291</x:f>
        <x:v>K</x:v>
      </x:c>
      <x:c r="E304" s="12" t="n">
        <x:f>'Weekly Projections'!BA291</x:f>
        <x:v>2</x:v>
      </x:c>
      <x:c r="F304" s="17" t="n">
        <x:f>'Weekly Projections'!AW291</x:f>
        <x:v>8.614919999999998</x:v>
      </x:c>
    </x:row>
    <x:row r="305">
      <x:c r="A305" s="12" t="n">
        <x:f>'Weekly Projections'!BB292</x:f>
        <x:v>14</x:v>
      </x:c>
      <x:c r="B305" s="12" t="str">
        <x:f>'Weekly Projections'!A292</x:f>
        <x:v>Evan McPherson</x:v>
      </x:c>
      <x:c r="C305" s="12" t="str">
        <x:f>'Weekly Projections'!B292</x:f>
        <x:v>CIN</x:v>
      </x:c>
      <x:c r="D305" s="12" t="str">
        <x:f>'Weekly Projections'!C292</x:f>
        <x:v>K</x:v>
      </x:c>
      <x:c r="E305" s="12" t="n">
        <x:f>'Weekly Projections'!BA292</x:f>
        <x:v>2</x:v>
      </x:c>
      <x:c r="F305" s="17" t="n">
        <x:f>'Weekly Projections'!AW292</x:f>
        <x:v>8.32745</x:v>
      </x:c>
    </x:row>
    <x:row r="306">
      <x:c r="A306" s="12" t="n">
        <x:f>'Weekly Projections'!BB293</x:f>
        <x:v>15</x:v>
      </x:c>
      <x:c r="B306" s="12" t="str">
        <x:f>'Weekly Projections'!A293</x:f>
        <x:v>Chase McLaughlin</x:v>
      </x:c>
      <x:c r="C306" s="12" t="str">
        <x:f>'Weekly Projections'!B293</x:f>
        <x:v>TB</x:v>
      </x:c>
      <x:c r="D306" s="12" t="str">
        <x:f>'Weekly Projections'!C293</x:f>
        <x:v>K</x:v>
      </x:c>
      <x:c r="E306" s="12" t="n">
        <x:f>'Weekly Projections'!BA293</x:f>
        <x:v>2</x:v>
      </x:c>
      <x:c r="F306" s="17" t="n">
        <x:f>'Weekly Projections'!AW293</x:f>
        <x:v>8.314319999999999</x:v>
      </x:c>
    </x:row>
    <x:row r="307">
      <x:c r="A307" s="12" t="n">
        <x:f>'Weekly Projections'!BB294</x:f>
        <x:v>16</x:v>
      </x:c>
      <x:c r="B307" s="12" t="str">
        <x:f>'Weekly Projections'!A294</x:f>
        <x:v>Andy Borregales</x:v>
      </x:c>
      <x:c r="C307" s="12" t="str">
        <x:f>'Weekly Projections'!B294</x:f>
        <x:v>NE</x:v>
      </x:c>
      <x:c r="D307" s="12" t="str">
        <x:f>'Weekly Projections'!C294</x:f>
        <x:v>K</x:v>
      </x:c>
      <x:c r="E307" s="12" t="n">
        <x:f>'Weekly Projections'!BA294</x:f>
        <x:v>2</x:v>
      </x:c>
      <x:c r="F307" s="17" t="n">
        <x:f>'Weekly Projections'!AW294</x:f>
        <x:v>8.29668</x:v>
      </x:c>
    </x:row>
    <x:row r="308">
      <x:c r="A308" s="12" t="n">
        <x:f>'Weekly Projections'!BB295</x:f>
        <x:v>17</x:v>
      </x:c>
      <x:c r="B308" s="12" t="str">
        <x:f>'Weekly Projections'!A295</x:f>
        <x:v>Trey Smack</x:v>
      </x:c>
      <x:c r="C308" s="12" t="str">
        <x:f>'Weekly Projections'!B295</x:f>
        <x:v>GB</x:v>
      </x:c>
      <x:c r="D308" s="12" t="str">
        <x:f>'Weekly Projections'!C295</x:f>
        <x:v>K</x:v>
      </x:c>
      <x:c r="E308" s="12" t="n">
        <x:f>'Weekly Projections'!BA295</x:f>
        <x:v>3</x:v>
      </x:c>
      <x:c r="F308" s="17" t="n">
        <x:f>'Weekly Projections'!AW295</x:f>
        <x:v>8.262</x:v>
      </x:c>
    </x:row>
    <x:row r="309">
      <x:c r="A309" s="12" t="n">
        <x:f>'Weekly Projections'!BB296</x:f>
        <x:v>18</x:v>
      </x:c>
      <x:c r="B309" s="12" t="str">
        <x:f>'Weekly Projections'!A296</x:f>
        <x:v>Tyler Bass</x:v>
      </x:c>
      <x:c r="C309" s="12" t="str">
        <x:f>'Weekly Projections'!B296</x:f>
        <x:v>BUF</x:v>
      </x:c>
      <x:c r="D309" s="12" t="str">
        <x:f>'Weekly Projections'!C296</x:f>
        <x:v>K</x:v>
      </x:c>
      <x:c r="E309" s="12" t="n">
        <x:f>'Weekly Projections'!BA296</x:f>
        <x:v>3</x:v>
      </x:c>
      <x:c r="F309" s="17" t="n">
        <x:f>'Weekly Projections'!AW296</x:f>
        <x:v>8.25552</x:v>
      </x:c>
    </x:row>
    <x:row r="310">
      <x:c r="A310" s="12" t="n">
        <x:f>'Weekly Projections'!BB297</x:f>
        <x:v>19</x:v>
      </x:c>
      <x:c r="B310" s="12" t="str">
        <x:f>'Weekly Projections'!A297</x:f>
        <x:v>Wil Lutz</x:v>
      </x:c>
      <x:c r="C310" s="12" t="str">
        <x:f>'Weekly Projections'!B297</x:f>
        <x:v>DEN</x:v>
      </x:c>
      <x:c r="D310" s="12" t="str">
        <x:f>'Weekly Projections'!C297</x:f>
        <x:v>K</x:v>
      </x:c>
      <x:c r="E310" s="12" t="n">
        <x:f>'Weekly Projections'!BA297</x:f>
        <x:v>3</x:v>
      </x:c>
      <x:c r="F310" s="17" t="n">
        <x:f>'Weekly Projections'!AW297</x:f>
        <x:v>8.134</x:v>
      </x:c>
    </x:row>
    <x:row r="311">
      <x:c r="A311" s="12" t="n">
        <x:f>'Weekly Projections'!BB298</x:f>
        <x:v>20</x:v>
      </x:c>
      <x:c r="B311" s="12" t="str">
        <x:f>'Weekly Projections'!A298</x:f>
        <x:v>Jason Sanders</x:v>
      </x:c>
      <x:c r="C311" s="12" t="str">
        <x:f>'Weekly Projections'!B298</x:f>
        <x:v>NYJ</x:v>
      </x:c>
      <x:c r="D311" s="12" t="str">
        <x:f>'Weekly Projections'!C298</x:f>
        <x:v>K</x:v>
      </x:c>
      <x:c r="E311" s="12" t="n">
        <x:f>'Weekly Projections'!BA298</x:f>
        <x:v>3</x:v>
      </x:c>
      <x:c r="F311" s="17" t="n">
        <x:f>'Weekly Projections'!AW298</x:f>
        <x:v>7.969519999999999</x:v>
      </x:c>
    </x:row>
    <x:row r="312">
      <x:c r="A312" s="12" t="n">
        <x:f>'Weekly Projections'!BB301</x:f>
        <x:v>21</x:v>
      </x:c>
      <x:c r="B312" s="12" t="str">
        <x:f>'Weekly Projections'!A301</x:f>
        <x:v>Cairo Santos</x:v>
      </x:c>
      <x:c r="C312" s="12" t="str">
        <x:f>'Weekly Projections'!B301</x:f>
        <x:v>CHI</x:v>
      </x:c>
      <x:c r="D312" s="12" t="str">
        <x:f>'Weekly Projections'!C301</x:f>
        <x:v>K</x:v>
      </x:c>
      <x:c r="E312" s="12" t="n">
        <x:f>'Weekly Projections'!BA301</x:f>
        <x:v>3</x:v>
      </x:c>
      <x:c r="F312" s="17" t="n">
        <x:f>'Weekly Projections'!AW301</x:f>
        <x:v>7.670399999999997</x:v>
      </x:c>
    </x:row>
    <x:row r="313">
      <x:c r="A313" s="12" t="n">
        <x:f>'Weekly Projections'!BB302</x:f>
        <x:v>22</x:v>
      </x:c>
      <x:c r="B313" s="12" t="str">
        <x:f>'Weekly Projections'!A302</x:f>
        <x:v>Daniel Carlson</x:v>
      </x:c>
      <x:c r="C313" s="12" t="str">
        <x:f>'Weekly Projections'!B302</x:f>
        <x:v>NO</x:v>
      </x:c>
      <x:c r="D313" s="12" t="str">
        <x:f>'Weekly Projections'!C302</x:f>
        <x:v>K</x:v>
      </x:c>
      <x:c r="E313" s="12" t="n">
        <x:f>'Weekly Projections'!BA302</x:f>
        <x:v>3</x:v>
      </x:c>
      <x:c r="F313" s="17" t="n">
        <x:f>'Weekly Projections'!AW302</x:f>
        <x:v>7.623</x:v>
      </x:c>
    </x:row>
    <x:row r="314">
      <x:c r="A314" s="12" t="n">
        <x:f>'Weekly Projections'!BB303</x:f>
        <x:v>23</x:v>
      </x:c>
      <x:c r="B314" s="12" t="str">
        <x:f>'Weekly Projections'!A303</x:f>
        <x:v>Joey Slye</x:v>
      </x:c>
      <x:c r="C314" s="12" t="str">
        <x:f>'Weekly Projections'!B303</x:f>
        <x:v>TEN</x:v>
      </x:c>
      <x:c r="D314" s="12" t="str">
        <x:f>'Weekly Projections'!C303</x:f>
        <x:v>K</x:v>
      </x:c>
      <x:c r="E314" s="12" t="n">
        <x:f>'Weekly Projections'!BA303</x:f>
        <x:v>4</x:v>
      </x:c>
      <x:c r="F314" s="17" t="n">
        <x:f>'Weekly Projections'!AW303</x:f>
        <x:v>7.613760000000001</x:v>
      </x:c>
    </x:row>
    <x:row r="315">
      <x:c r="A315" s="12" t="n">
        <x:f>'Weekly Projections'!BB304</x:f>
        <x:v>24</x:v>
      </x:c>
      <x:c r="B315" s="12" t="str">
        <x:f>'Weekly Projections'!A304</x:f>
        <x:v>Spencer Shrader</x:v>
      </x:c>
      <x:c r="C315" s="12" t="str">
        <x:f>'Weekly Projections'!B304</x:f>
        <x:v>IND</x:v>
      </x:c>
      <x:c r="D315" s="12" t="str">
        <x:f>'Weekly Projections'!C304</x:f>
        <x:v>K</x:v>
      </x:c>
      <x:c r="E315" s="12" t="n">
        <x:f>'Weekly Projections'!BA304</x:f>
        <x:v>4</x:v>
      </x:c>
      <x:c r="F315" s="17" t="n">
        <x:f>'Weekly Projections'!AW304</x:f>
        <x:v>7.504999999999999</x:v>
      </x:c>
    </x:row>
    <x:row r="316">
      <x:c r="A316" s="12" t="n">
        <x:f>'Weekly Projections'!BB305</x:f>
        <x:v>25</x:v>
      </x:c>
      <x:c r="B316" s="12" t="str">
        <x:f>'Weekly Projections'!A305</x:f>
        <x:v>Nick Folk</x:v>
      </x:c>
      <x:c r="C316" s="12" t="str">
        <x:f>'Weekly Projections'!B305</x:f>
        <x:v>ATL</x:v>
      </x:c>
      <x:c r="D316" s="12" t="str">
        <x:f>'Weekly Projections'!C305</x:f>
        <x:v>K</x:v>
      </x:c>
      <x:c r="E316" s="12" t="n">
        <x:f>'Weekly Projections'!BA305</x:f>
        <x:v>4</x:v>
      </x:c>
      <x:c r="F316" s="17" t="n">
        <x:f>'Weekly Projections'!AW305</x:f>
        <x:v>7.4495999999999984</x:v>
      </x:c>
    </x:row>
    <x:row r="317">
      <x:c r="A317" s="12" t="n">
        <x:f>'Weekly Projections'!BB306</x:f>
        <x:v>26</x:v>
      </x:c>
      <x:c r="B317" s="12" t="str">
        <x:f>'Weekly Projections'!A306</x:f>
        <x:v>Matt Gay</x:v>
      </x:c>
      <x:c r="C317" s="12" t="str">
        <x:f>'Weekly Projections'!B306</x:f>
        <x:v>LV</x:v>
      </x:c>
      <x:c r="D317" s="12" t="str">
        <x:f>'Weekly Projections'!C306</x:f>
        <x:v>K</x:v>
      </x:c>
      <x:c r="E317" s="12" t="n">
        <x:f>'Weekly Projections'!BA306</x:f>
        <x:v>4</x:v>
      </x:c>
      <x:c r="F317" s="17" t="n">
        <x:f>'Weekly Projections'!AW306</x:f>
        <x:v>7.097159999999999</x:v>
      </x:c>
    </x:row>
    <x:row r="318">
      <x:c r="A318" s="12" t="n">
        <x:f>'Weekly Projections'!BB307</x:f>
        <x:v>27</x:v>
      </x:c>
      <x:c r="B318" s="12" t="str">
        <x:f>'Weekly Projections'!A307</x:f>
        <x:v>Andre Szmyt</x:v>
      </x:c>
      <x:c r="C318" s="12" t="str">
        <x:f>'Weekly Projections'!B307</x:f>
        <x:v>CLE</x:v>
      </x:c>
      <x:c r="D318" s="12" t="str">
        <x:f>'Weekly Projections'!C307</x:f>
        <x:v>K</x:v>
      </x:c>
      <x:c r="E318" s="12" t="n">
        <x:f>'Weekly Projections'!BA307</x:f>
        <x:v>4</x:v>
      </x:c>
      <x:c r="F318" s="17" t="n">
        <x:f>'Weekly Projections'!AW307</x:f>
        <x:v>7.0615999999999985</x:v>
      </x:c>
    </x:row>
    <x:row r="319">
      <x:c r="A319" s="12" t="n">
        <x:f>'Weekly Projections'!BB308</x:f>
        <x:v>28</x:v>
      </x:c>
      <x:c r="B319" s="12" t="str">
        <x:f>'Weekly Projections'!A308</x:f>
        <x:v>Ryan Fitzgerald</x:v>
      </x:c>
      <x:c r="C319" s="12" t="str">
        <x:f>'Weekly Projections'!B308</x:f>
        <x:v>CAR</x:v>
      </x:c>
      <x:c r="D319" s="12" t="str">
        <x:f>'Weekly Projections'!C308</x:f>
        <x:v>K</x:v>
      </x:c>
      <x:c r="E319" s="12" t="n">
        <x:f>'Weekly Projections'!BA308</x:f>
        <x:v>4</x:v>
      </x:c>
      <x:c r="F319" s="17" t="n">
        <x:f>'Weekly Projections'!AW308</x:f>
        <x:v>6.9825</x:v>
      </x:c>
    </x:row>
    <x:row r="320">
      <x:c r="A320" s="12" t="n">
        <x:f>'Weekly Projections'!BB309</x:f>
        <x:v>29</x:v>
      </x:c>
      <x:c r="B320" s="12" t="str">
        <x:f>'Weekly Projections'!A309</x:f>
        <x:v>Chad Ryland</x:v>
      </x:c>
      <x:c r="C320" s="12" t="str">
        <x:f>'Weekly Projections'!B309</x:f>
        <x:v>ARI</x:v>
      </x:c>
      <x:c r="D320" s="12" t="str">
        <x:f>'Weekly Projections'!C309</x:f>
        <x:v>K</x:v>
      </x:c>
      <x:c r="E320" s="12" t="n">
        <x:f>'Weekly Projections'!BA309</x:f>
        <x:v>4</x:v>
      </x:c>
      <x:c r="F320" s="17" t="n">
        <x:f>'Weekly Projections'!AW309</x:f>
        <x:v>6.956</x:v>
      </x:c>
    </x:row>
    <x:row r="321">
      <x:c r="A321" s="12" t="n">
        <x:f>'Weekly Projections'!BB310</x:f>
        <x:v>30</x:v>
      </x:c>
      <x:c r="B321" s="12" t="str">
        <x:f>'Weekly Projections'!A310</x:f>
        <x:v>Drew Stevens</x:v>
      </x:c>
      <x:c r="C321" s="12" t="str">
        <x:f>'Weekly Projections'!B310</x:f>
        <x:v>WAS</x:v>
      </x:c>
      <x:c r="D321" s="12" t="str">
        <x:f>'Weekly Projections'!C310</x:f>
        <x:v>K</x:v>
      </x:c>
      <x:c r="E321" s="12" t="n">
        <x:f>'Weekly Projections'!BA310</x:f>
        <x:v>4</x:v>
      </x:c>
      <x:c r="F321" s="17" t="n">
        <x:f>'Weekly Projections'!AW310</x:f>
        <x:v>6.93938</x:v>
      </x:c>
    </x:row>
    <x:row r="322">
      <x:c r="A322" s="12" t="n">
        <x:f>'Weekly Projections'!BB311</x:f>
        <x:v>31</x:v>
      </x:c>
      <x:c r="B322" s="12" t="str">
        <x:f>'Weekly Projections'!A311</x:f>
        <x:v>Dominic Zvada</x:v>
      </x:c>
      <x:c r="C322" s="12" t="str">
        <x:f>'Weekly Projections'!B311</x:f>
        <x:v>NYG</x:v>
      </x:c>
      <x:c r="D322" s="12" t="str">
        <x:f>'Weekly Projections'!C311</x:f>
        <x:v>K</x:v>
      </x:c>
      <x:c r="E322" s="12" t="n">
        <x:f>'Weekly Projections'!BA311</x:f>
        <x:v>5</x:v>
      </x:c>
      <x:c r="F322" s="17" t="n">
        <x:f>'Weekly Projections'!AW311</x:f>
        <x:v>6.854399999999999</x:v>
      </x:c>
    </x:row>
    <x:row r="323">
      <x:c r="A323" s="12" t="n">
        <x:f>'Weekly Projections'!BB312</x:f>
        <x:v>32</x:v>
      </x:c>
      <x:c r="B323" s="12" t="str">
        <x:f>'Weekly Projections'!A312</x:f>
        <x:v>Riley Patterson</x:v>
      </x:c>
      <x:c r="C323" s="12" t="str">
        <x:f>'Weekly Projections'!B312</x:f>
        <x:v>MIA</x:v>
      </x:c>
      <x:c r="D323" s="12" t="str">
        <x:f>'Weekly Projections'!C312</x:f>
        <x:v>K</x:v>
      </x:c>
      <x:c r="E323" s="12" t="n">
        <x:f>'Weekly Projections'!BA312</x:f>
        <x:v>5</x:v>
      </x:c>
      <x:c r="F323" s="17" t="n">
        <x:f>'Weekly Projections'!AW312</x:f>
        <x:v>6.6348</x:v>
      </x:c>
    </x:row>
    <x:row r="324">
      <x:c r="A324" s="12" t="n">
        <x:f>1</x:f>
        <x:v>1</x:v>
      </x:c>
      <x:c r="B324" s="12" t="str">
        <x:f>'Weekly Projections'!A37</x:f>
        <x:v>Jahmyr Gibbs</x:v>
      </x:c>
      <x:c r="C324" s="12" t="str">
        <x:f>'Weekly Projections'!B37</x:f>
        <x:v>DET</x:v>
      </x:c>
      <x:c r="D324" s="12" t="str">
        <x:f>"FLEX"</x:f>
        <x:v>FLEX</x:v>
      </x:c>
      <x:c r="E324" s="12" t="n">
        <x:f>'Weekly Projections'!BA37</x:f>
        <x:v>1</x:v>
      </x:c>
      <x:c r="F324" s="17" t="n">
        <x:f>'Weekly Projections'!AW37</x:f>
        <x:v>20.199947368421057</x:v>
      </x:c>
    </x:row>
    <x:row r="325">
      <x:c r="A325" s="12" t="n">
        <x:f>2</x:f>
        <x:v>2</x:v>
      </x:c>
      <x:c r="B325" s="12" t="str">
        <x:f>'Weekly Projections'!A38</x:f>
        <x:v>Bijan Robinson</x:v>
      </x:c>
      <x:c r="C325" s="12" t="str">
        <x:f>'Weekly Projections'!B38</x:f>
        <x:v>ATL</x:v>
      </x:c>
      <x:c r="D325" s="12" t="str">
        <x:f>"FLEX"</x:f>
        <x:v>FLEX</x:v>
      </x:c>
      <x:c r="E325" s="12" t="n">
        <x:f>'Weekly Projections'!BA38</x:f>
        <x:v>1</x:v>
      </x:c>
      <x:c r="F325" s="17" t="n">
        <x:f>'Weekly Projections'!AW38</x:f>
        <x:v>18.18931821862348</x:v>
      </x:c>
    </x:row>
    <x:row r="326">
      <x:c r="A326" s="12" t="n">
        <x:f>3</x:f>
        <x:v>3</x:v>
      </x:c>
      <x:c r="B326" s="12" t="str">
        <x:f>'Weekly Projections'!A39</x:f>
        <x:v>Kenneth Walker III</x:v>
      </x:c>
      <x:c r="C326" s="12" t="str">
        <x:f>'Weekly Projections'!B39</x:f>
        <x:v>KC</x:v>
      </x:c>
      <x:c r="D326" s="12" t="str">
        <x:f>"FLEX"</x:f>
        <x:v>FLEX</x:v>
      </x:c>
      <x:c r="E326" s="12" t="n">
        <x:f>'Weekly Projections'!BA39</x:f>
        <x:v>1</x:v>
      </x:c>
      <x:c r="F326" s="17" t="n">
        <x:f>'Weekly Projections'!AW39</x:f>
        <x:v>17.440038866396762</x:v>
      </x:c>
    </x:row>
    <x:row r="327">
      <x:c r="A327" s="12" t="n">
        <x:f>4</x:f>
        <x:v>4</x:v>
      </x:c>
      <x:c r="B327" s="12" t="str">
        <x:f>'Weekly Projections'!A40</x:f>
        <x:v>Christian McCaffrey</x:v>
      </x:c>
      <x:c r="C327" s="12" t="str">
        <x:f>'Weekly Projections'!B40</x:f>
        <x:v>SF</x:v>
      </x:c>
      <x:c r="D327" s="12" t="str">
        <x:f>"FLEX"</x:f>
        <x:v>FLEX</x:v>
      </x:c>
      <x:c r="E327" s="12" t="n">
        <x:f>'Weekly Projections'!BA40</x:f>
        <x:v>1</x:v>
      </x:c>
      <x:c r="F327" s="17" t="n">
        <x:f>'Weekly Projections'!AW40</x:f>
        <x:v>17.201052631578946</x:v>
      </x:c>
    </x:row>
    <x:row r="328">
      <x:c r="A328" s="12" t="n">
        <x:f>5</x:f>
        <x:v>5</x:v>
      </x:c>
      <x:c r="B328" s="12" t="str">
        <x:f>'Weekly Projections'!A41</x:f>
        <x:v>Jonathan Taylor</x:v>
      </x:c>
      <x:c r="C328" s="12" t="str">
        <x:f>'Weekly Projections'!B41</x:f>
        <x:v>IND</x:v>
      </x:c>
      <x:c r="D328" s="12" t="str">
        <x:f>"FLEX"</x:f>
        <x:v>FLEX</x:v>
      </x:c>
      <x:c r="E328" s="12" t="n">
        <x:f>'Weekly Projections'!BA41</x:f>
        <x:v>1</x:v>
      </x:c>
      <x:c r="F328" s="17" t="n">
        <x:f>'Weekly Projections'!AW41</x:f>
        <x:v>16.201457489878546</x:v>
      </x:c>
    </x:row>
    <x:row r="329">
      <x:c r="A329" s="12" t="n">
        <x:f>6</x:f>
        <x:v>6</x:v>
      </x:c>
      <x:c r="B329" s="12" t="str">
        <x:f>'Weekly Projections'!A42</x:f>
        <x:v>Derrick Henry</x:v>
      </x:c>
      <x:c r="C329" s="12" t="str">
        <x:f>'Weekly Projections'!B42</x:f>
        <x:v>BAL</x:v>
      </x:c>
      <x:c r="D329" s="12" t="str">
        <x:f>"FLEX"</x:f>
        <x:v>FLEX</x:v>
      </x:c>
      <x:c r="E329" s="12" t="n">
        <x:f>'Weekly Projections'!BA42</x:f>
        <x:v>1</x:v>
      </x:c>
      <x:c r="F329" s="17" t="n">
        <x:f>'Weekly Projections'!AW42</x:f>
        <x:v>16.19747044534413</x:v>
      </x:c>
    </x:row>
    <x:row r="330">
      <x:c r="A330" s="12" t="n">
        <x:f>7</x:f>
        <x:v>7</x:v>
      </x:c>
      <x:c r="B330" s="12" t="str">
        <x:f>'Weekly Projections'!A135</x:f>
        <x:v>Ja'Marr Chase</x:v>
      </x:c>
      <x:c r="C330" s="12" t="str">
        <x:f>'Weekly Projections'!B135</x:f>
        <x:v>CIN</x:v>
      </x:c>
      <x:c r="D330" s="12" t="str">
        <x:f>"FLEX"</x:f>
        <x:v>FLEX</x:v>
      </x:c>
      <x:c r="E330" s="12" t="n">
        <x:f>'Weekly Projections'!BA135</x:f>
        <x:v>1</x:v>
      </x:c>
      <x:c r="F330" s="17" t="n">
        <x:f>'Weekly Projections'!AW135</x:f>
        <x:v>16.13945391304348</x:v>
      </x:c>
    </x:row>
    <x:row r="331">
      <x:c r="A331" s="12" t="n">
        <x:f>8</x:f>
        <x:v>8</x:v>
      </x:c>
      <x:c r="B331" s="12" t="str">
        <x:f>'Weekly Projections'!A136</x:f>
        <x:v>Jaxon Smith-Njigba</x:v>
      </x:c>
      <x:c r="C331" s="12" t="str">
        <x:f>'Weekly Projections'!B136</x:f>
        <x:v>SEA</x:v>
      </x:c>
      <x:c r="D331" s="12" t="str">
        <x:f>"FLEX"</x:f>
        <x:v>FLEX</x:v>
      </x:c>
      <x:c r="E331" s="12" t="n">
        <x:f>'Weekly Projections'!BA136</x:f>
        <x:v>1</x:v>
      </x:c>
      <x:c r="F331" s="17" t="n">
        <x:f>'Weekly Projections'!AW136</x:f>
        <x:v>15.863913043478263</x:v>
      </x:c>
    </x:row>
    <x:row r="332">
      <x:c r="A332" s="12" t="n">
        <x:f>9</x:f>
        <x:v>9</x:v>
      </x:c>
      <x:c r="B332" s="12" t="str">
        <x:f>'Weekly Projections'!A137</x:f>
        <x:v>Amon-Ra St. Brown</x:v>
      </x:c>
      <x:c r="C332" s="12" t="str">
        <x:f>'Weekly Projections'!B137</x:f>
        <x:v>DET</x:v>
      </x:c>
      <x:c r="D332" s="12" t="str">
        <x:f>"FLEX"</x:f>
        <x:v>FLEX</x:v>
      </x:c>
      <x:c r="E332" s="12" t="n">
        <x:f>'Weekly Projections'!BA137</x:f>
        <x:v>1</x:v>
      </x:c>
      <x:c r="F332" s="17" t="n">
        <x:f>'Weekly Projections'!AW137</x:f>
        <x:v>15.714913043478258</x:v>
      </x:c>
    </x:row>
    <x:row r="333">
      <x:c r="A333" s="12" t="n">
        <x:f>10</x:f>
        <x:v>10</x:v>
      </x:c>
      <x:c r="B333" s="12" t="str">
        <x:f>'Weekly Projections'!A43</x:f>
        <x:v>James Cook</x:v>
      </x:c>
      <x:c r="C333" s="12" t="str">
        <x:f>'Weekly Projections'!B43</x:f>
        <x:v>BUF</x:v>
      </x:c>
      <x:c r="D333" s="12" t="str">
        <x:f>"FLEX"</x:f>
        <x:v>FLEX</x:v>
      </x:c>
      <x:c r="E333" s="12" t="n">
        <x:f>'Weekly Projections'!BA43</x:f>
        <x:v>1</x:v>
      </x:c>
      <x:c r="F333" s="17" t="n">
        <x:f>'Weekly Projections'!AW43</x:f>
        <x:v>15.534412955465593</x:v>
      </x:c>
    </x:row>
    <x:row r="334">
      <x:c r="A334" s="12" t="n">
        <x:f>11</x:f>
        <x:v>11</x:v>
      </x:c>
      <x:c r="B334" s="12" t="str">
        <x:f>'Weekly Projections'!A44</x:f>
        <x:v>Ashton Jeanty</x:v>
      </x:c>
      <x:c r="C334" s="12" t="str">
        <x:f>'Weekly Projections'!B44</x:f>
        <x:v>LV</x:v>
      </x:c>
      <x:c r="D334" s="12" t="str">
        <x:f>"FLEX"</x:f>
        <x:v>FLEX</x:v>
      </x:c>
      <x:c r="E334" s="12" t="n">
        <x:f>'Weekly Projections'!BA44</x:f>
        <x:v>1</x:v>
      </x:c>
      <x:c r="F334" s="17" t="n">
        <x:f>'Weekly Projections'!AW44</x:f>
        <x:v>15.428098785425103</x:v>
      </x:c>
    </x:row>
    <x:row r="335">
      <x:c r="A335" s="12" t="n">
        <x:f>12</x:f>
        <x:v>12</x:v>
      </x:c>
      <x:c r="B335" s="12" t="str">
        <x:f>'Weekly Projections'!A45</x:f>
        <x:v>Saquon Barkley</x:v>
      </x:c>
      <x:c r="C335" s="12" t="str">
        <x:f>'Weekly Projections'!B45</x:f>
        <x:v>PHI</x:v>
      </x:c>
      <x:c r="D335" s="12" t="str">
        <x:f>"FLEX"</x:f>
        <x:v>FLEX</x:v>
      </x:c>
      <x:c r="E335" s="12" t="n">
        <x:f>'Weekly Projections'!BA45</x:f>
        <x:v>1</x:v>
      </x:c>
      <x:c r="F335" s="17" t="n">
        <x:f>'Weekly Projections'!AW45</x:f>
        <x:v>14.526456680161944</x:v>
      </x:c>
    </x:row>
    <x:row r="336">
      <x:c r="A336" s="12" t="n">
        <x:f>13</x:f>
        <x:v>13</x:v>
      </x:c>
      <x:c r="B336" s="12" t="str">
        <x:f>'Weekly Projections'!A138</x:f>
        <x:v>Justin Jefferson</x:v>
      </x:c>
      <x:c r="C336" s="12" t="str">
        <x:f>'Weekly Projections'!B138</x:f>
        <x:v>MIN</x:v>
      </x:c>
      <x:c r="D336" s="12" t="str">
        <x:f>"FLEX"</x:f>
        <x:v>FLEX</x:v>
      </x:c>
      <x:c r="E336" s="12" t="n">
        <x:f>'Weekly Projections'!BA138</x:f>
        <x:v>1</x:v>
      </x:c>
      <x:c r="F336" s="17" t="n">
        <x:f>'Weekly Projections'!AW138</x:f>
        <x:v>13.598935652173914</x:v>
      </x:c>
    </x:row>
    <x:row r="337">
      <x:c r="A337" s="12" t="n">
        <x:f>14</x:f>
        <x:v>14</x:v>
      </x:c>
      <x:c r="B337" s="12" t="str">
        <x:f>'Weekly Projections'!A46</x:f>
        <x:v>Chase Brown</x:v>
      </x:c>
      <x:c r="C337" s="12" t="str">
        <x:f>'Weekly Projections'!B46</x:f>
        <x:v>CIN</x:v>
      </x:c>
      <x:c r="D337" s="12" t="str">
        <x:f>"FLEX"</x:f>
        <x:v>FLEX</x:v>
      </x:c>
      <x:c r="E337" s="12" t="n">
        <x:f>'Weekly Projections'!BA46</x:f>
        <x:v>1</x:v>
      </x:c>
      <x:c r="F337" s="17" t="n">
        <x:f>'Weekly Projections'!AW46</x:f>
        <x:v>13.377352226720651</x:v>
      </x:c>
    </x:row>
    <x:row r="338">
      <x:c r="A338" s="12" t="n">
        <x:f>15</x:f>
        <x:v>15</x:v>
      </x:c>
      <x:c r="B338" s="12" t="str">
        <x:f>'Weekly Projections'!A47</x:f>
        <x:v>Javonte Williams</x:v>
      </x:c>
      <x:c r="C338" s="12" t="str">
        <x:f>'Weekly Projections'!B47</x:f>
        <x:v>DAL</x:v>
      </x:c>
      <x:c r="D338" s="12" t="str">
        <x:f>"FLEX"</x:f>
        <x:v>FLEX</x:v>
      </x:c>
      <x:c r="E338" s="12" t="n">
        <x:f>'Weekly Projections'!BA47</x:f>
        <x:v>2</x:v>
      </x:c>
      <x:c r="F338" s="17" t="n">
        <x:f>'Weekly Projections'!AW47</x:f>
        <x:v>13.062510121457493</x:v>
      </x:c>
    </x:row>
    <x:row r="339">
      <x:c r="A339" s="12" t="n">
        <x:f>16</x:f>
        <x:v>16</x:v>
      </x:c>
      <x:c r="B339" s="12" t="str">
        <x:f>'Weekly Projections'!A48</x:f>
        <x:v>De'Von Achane</x:v>
      </x:c>
      <x:c r="C339" s="12" t="str">
        <x:f>'Weekly Projections'!B48</x:f>
        <x:v>MIA</x:v>
      </x:c>
      <x:c r="D339" s="12" t="str">
        <x:f>"FLEX"</x:f>
        <x:v>FLEX</x:v>
      </x:c>
      <x:c r="E339" s="12" t="n">
        <x:f>'Weekly Projections'!BA48</x:f>
        <x:v>2</x:v>
      </x:c>
      <x:c r="F339" s="17" t="n">
        <x:f>'Weekly Projections'!AW48</x:f>
        <x:v>13.048217004048581</x:v>
      </x:c>
    </x:row>
    <x:row r="340">
      <x:c r="A340" t="n">
        <x:f>17</x:f>
        <x:v>17</x:v>
      </x:c>
      <x:c r="B340" t="str">
        <x:f>'Weekly Projections'!A49</x:f>
        <x:v>Kyren Williams</x:v>
      </x:c>
      <x:c r="C340" t="str">
        <x:f>'Weekly Projections'!B49</x:f>
        <x:v>LAR</x:v>
      </x:c>
      <x:c r="D340" t="str">
        <x:f>"FLEX"</x:f>
        <x:v>FLEX</x:v>
      </x:c>
      <x:c r="E340" t="n">
        <x:f>'Weekly Projections'!BA49</x:f>
        <x:v>2</x:v>
      </x:c>
      <x:c r="F340" t="n">
        <x:f>'Weekly Projections'!AW49</x:f>
        <x:v>12.801276923076927</x:v>
      </x:c>
    </x:row>
    <x:row r="341">
      <x:c r="A341" t="n">
        <x:f>18</x:f>
        <x:v>18</x:v>
      </x:c>
      <x:c r="B341" t="str">
        <x:f>'Weekly Projections'!A153</x:f>
        <x:v>Christian Watson</x:v>
      </x:c>
      <x:c r="C341" t="str">
        <x:f>'Weekly Projections'!B153</x:f>
        <x:v>GB</x:v>
      </x:c>
      <x:c r="D341" t="str">
        <x:f>"FLEX"</x:f>
        <x:v>FLEX</x:v>
      </x:c>
      <x:c r="E341" t="n">
        <x:f>'Weekly Projections'!BA153</x:f>
        <x:v>2</x:v>
      </x:c>
      <x:c r="F341" t="n">
        <x:f>'Weekly Projections'!AW153</x:f>
        <x:v>12.723159420289855</x:v>
      </x:c>
    </x:row>
    <x:row r="342">
      <x:c r="A342" t="n">
        <x:f>19</x:f>
        <x:v>19</x:v>
      </x:c>
      <x:c r="B342" t="str">
        <x:f>'Weekly Projections'!A139</x:f>
        <x:v>CeeDee Lamb</x:v>
      </x:c>
      <x:c r="C342" t="str">
        <x:f>'Weekly Projections'!B139</x:f>
        <x:v>DAL</x:v>
      </x:c>
      <x:c r="D342" t="str">
        <x:f>"FLEX"</x:f>
        <x:v>FLEX</x:v>
      </x:c>
      <x:c r="E342" t="n">
        <x:f>'Weekly Projections'!BA139</x:f>
        <x:v>1</x:v>
      </x:c>
      <x:c r="F342" t="n">
        <x:f>'Weekly Projections'!AW139</x:f>
        <x:v>12.580173913043476</x:v>
      </x:c>
    </x:row>
    <x:row r="343">
      <x:c r="A343" t="n">
        <x:f>20</x:f>
        <x:v>20</x:v>
      </x:c>
      <x:c r="B343" t="str">
        <x:f>'Weekly Projections'!A50</x:f>
        <x:v>Omarion Hampton</x:v>
      </x:c>
      <x:c r="C343" t="str">
        <x:f>'Weekly Projections'!B50</x:f>
        <x:v>LAC</x:v>
      </x:c>
      <x:c r="D343" t="str">
        <x:f>"FLEX"</x:f>
        <x:v>FLEX</x:v>
      </x:c>
      <x:c r="E343" t="n">
        <x:f>'Weekly Projections'!BA50</x:f>
        <x:v>2</x:v>
      </x:c>
      <x:c r="F343" t="n">
        <x:f>'Weekly Projections'!AW50</x:f>
        <x:v>12.453415384615385</x:v>
      </x:c>
    </x:row>
    <x:row r="344">
      <x:c r="A344" t="n">
        <x:f>21</x:f>
        <x:v>21</x:v>
      </x:c>
      <x:c r="B344" t="str">
        <x:f>'Weekly Projections'!A51</x:f>
        <x:v>Breece Hall</x:v>
      </x:c>
      <x:c r="C344" t="str">
        <x:f>'Weekly Projections'!B51</x:f>
        <x:v>NYJ</x:v>
      </x:c>
      <x:c r="D344" t="str">
        <x:f>"FLEX"</x:f>
        <x:v>FLEX</x:v>
      </x:c>
      <x:c r="E344" t="n">
        <x:f>'Weekly Projections'!BA51</x:f>
        <x:v>2</x:v>
      </x:c>
      <x:c r="F344" t="n">
        <x:f>'Weekly Projections'!AW51</x:f>
        <x:v>12.360647773279354</x:v>
      </x:c>
    </x:row>
    <x:row r="345">
      <x:c r="A345" t="n">
        <x:f>22</x:f>
        <x:v>22</x:v>
      </x:c>
      <x:c r="B345" t="str">
        <x:f>'Weekly Projections'!A140</x:f>
        <x:v>Rashee Rice</x:v>
      </x:c>
      <x:c r="C345" t="str">
        <x:f>'Weekly Projections'!B140</x:f>
        <x:v>KC</x:v>
      </x:c>
      <x:c r="D345" t="str">
        <x:f>"FLEX"</x:f>
        <x:v>FLEX</x:v>
      </x:c>
      <x:c r="E345" t="n">
        <x:f>'Weekly Projections'!BA140</x:f>
        <x:v>1</x:v>
      </x:c>
      <x:c r="F345" t="n">
        <x:f>'Weekly Projections'!AW140</x:f>
        <x:v>12.257632173913043</x:v>
      </x:c>
    </x:row>
    <x:row r="346">
      <x:c r="A346" t="n">
        <x:f>23</x:f>
        <x:v>23</x:v>
      </x:c>
      <x:c r="B346" t="str">
        <x:f>'Weekly Projections'!A141</x:f>
        <x:v>Drake London</x:v>
      </x:c>
      <x:c r="C346" t="str">
        <x:f>'Weekly Projections'!B141</x:f>
        <x:v>ATL</x:v>
      </x:c>
      <x:c r="D346" t="str">
        <x:f>"FLEX"</x:f>
        <x:v>FLEX</x:v>
      </x:c>
      <x:c r="E346" t="n">
        <x:f>'Weekly Projections'!BA141</x:f>
        <x:v>1</x:v>
      </x:c>
      <x:c r="F346" t="n">
        <x:f>'Weekly Projections'!AW141</x:f>
        <x:v>12.11080347826087</x:v>
      </x:c>
    </x:row>
    <x:row r="347">
      <x:c r="A347" t="n">
        <x:f>24</x:f>
        <x:v>24</x:v>
      </x:c>
      <x:c r="B347" t="str">
        <x:f>'Weekly Projections'!A52</x:f>
        <x:v>Bucky Irving</x:v>
      </x:c>
      <x:c r="C347" t="str">
        <x:f>'Weekly Projections'!B52</x:f>
        <x:v>TB</x:v>
      </x:c>
      <x:c r="D347" t="str">
        <x:f>"FLEX"</x:f>
        <x:v>FLEX</x:v>
      </x:c>
      <x:c r="E347" t="n">
        <x:f>'Weekly Projections'!BA52</x:f>
        <x:v>2</x:v>
      </x:c>
      <x:c r="F347" t="n">
        <x:f>'Weekly Projections'!AW52</x:f>
        <x:v>11.99893117408907</x:v>
      </x:c>
    </x:row>
    <x:row r="348">
      <x:c r="A348" t="n">
        <x:f>25</x:f>
        <x:v>25</x:v>
      </x:c>
      <x:c r="B348" t="str">
        <x:f>'Weekly Projections'!A53</x:f>
        <x:v>David Montgomery</x:v>
      </x:c>
      <x:c r="C348" t="str">
        <x:f>'Weekly Projections'!B53</x:f>
        <x:v>HOU</x:v>
      </x:c>
      <x:c r="D348" t="str">
        <x:f>"FLEX"</x:f>
        <x:v>FLEX</x:v>
      </x:c>
      <x:c r="E348" t="n">
        <x:f>'Weekly Projections'!BA53</x:f>
        <x:v>2</x:v>
      </x:c>
      <x:c r="F348" t="n">
        <x:f>'Weekly Projections'!AW53</x:f>
        <x:v>11.992226720647775</x:v>
      </x:c>
    </x:row>
    <x:row r="349">
      <x:c r="A349" t="n">
        <x:f>26</x:f>
        <x:v>26</x:v>
      </x:c>
      <x:c r="B349" t="str">
        <x:f>'Weekly Projections'!A152</x:f>
        <x:v>Davante Adams</x:v>
      </x:c>
      <x:c r="C349" t="str">
        <x:f>'Weekly Projections'!B152</x:f>
        <x:v>LAR</x:v>
      </x:c>
      <x:c r="D349" t="str">
        <x:f>"FLEX"</x:f>
        <x:v>FLEX</x:v>
      </x:c>
      <x:c r="E349" t="n">
        <x:f>'Weekly Projections'!BA152</x:f>
        <x:v>2</x:v>
      </x:c>
      <x:c r="F349" t="n">
        <x:f>'Weekly Projections'!AW152</x:f>
        <x:v>11.8968272</x:v>
      </x:c>
    </x:row>
    <x:row r="350">
      <x:c r="A350" t="n">
        <x:f>27</x:f>
        <x:v>27</x:v>
      </x:c>
      <x:c r="B350" t="str">
        <x:f>'Weekly Projections'!A142</x:f>
        <x:v>George Pickens</x:v>
      </x:c>
      <x:c r="C350" t="str">
        <x:f>'Weekly Projections'!B142</x:f>
        <x:v>DAL</x:v>
      </x:c>
      <x:c r="D350" t="str">
        <x:f>"FLEX"</x:f>
        <x:v>FLEX</x:v>
      </x:c>
      <x:c r="E350" t="n">
        <x:f>'Weekly Projections'!BA142</x:f>
        <x:v>1</x:v>
      </x:c>
      <x:c r="F350" t="n">
        <x:f>'Weekly Projections'!AW142</x:f>
        <x:v>11.817739130434783</x:v>
      </x:c>
    </x:row>
    <x:row r="351">
      <x:c r="A351" t="n">
        <x:f>28</x:f>
        <x:v>28</x:v>
      </x:c>
      <x:c r="B351" t="str">
        <x:f>'Weekly Projections'!A143</x:f>
        <x:v>Chris Olave</x:v>
      </x:c>
      <x:c r="C351" t="str">
        <x:f>'Weekly Projections'!B143</x:f>
        <x:v>NO</x:v>
      </x:c>
      <x:c r="D351" t="str">
        <x:f>"FLEX"</x:f>
        <x:v>FLEX</x:v>
      </x:c>
      <x:c r="E351" t="n">
        <x:f>'Weekly Projections'!BA143</x:f>
        <x:v>1</x:v>
      </x:c>
      <x:c r="F351" t="n">
        <x:f>'Weekly Projections'!AW143</x:f>
        <x:v>11.79694782608696</x:v>
      </x:c>
    </x:row>
    <x:row r="352">
      <x:c r="A352" t="n">
        <x:f>29</x:f>
        <x:v>29</x:v>
      </x:c>
      <x:c r="B352" t="str">
        <x:f>'Weekly Projections'!A54</x:f>
        <x:v>Jeremiyah Love</x:v>
      </x:c>
      <x:c r="C352" t="str">
        <x:f>'Weekly Projections'!B54</x:f>
        <x:v>ARI</x:v>
      </x:c>
      <x:c r="D352" t="str">
        <x:f>"FLEX"</x:f>
        <x:v>FLEX</x:v>
      </x:c>
      <x:c r="E352" t="n">
        <x:f>'Weekly Projections'!BA54</x:f>
        <x:v>2</x:v>
      </x:c>
      <x:c r="F352" t="n">
        <x:f>'Weekly Projections'!AW54</x:f>
        <x:v>11.45336032388664</x:v>
      </x:c>
    </x:row>
    <x:row r="353">
      <x:c r="A353" t="n">
        <x:f>30</x:f>
        <x:v>30</x:v>
      </x:c>
      <x:c r="B353" t="str">
        <x:f>'Weekly Projections'!A242</x:f>
        <x:v>Trey McBride</x:v>
      </x:c>
      <x:c r="C353" t="str">
        <x:f>'Weekly Projections'!B242</x:f>
        <x:v>ARI</x:v>
      </x:c>
      <x:c r="D353" t="str">
        <x:f>"FLEX"</x:f>
        <x:v>FLEX</x:v>
      </x:c>
      <x:c r="E353" t="n">
        <x:f>'Weekly Projections'!BA242</x:f>
        <x:v>1</x:v>
      </x:c>
      <x:c r="F353" t="n">
        <x:f>'Weekly Projections'!AW242</x:f>
        <x:v>11.351496688741722</x:v>
      </x:c>
    </x:row>
    <x:row r="354">
      <x:c r="A354" t="n">
        <x:f>31</x:f>
        <x:v>31</x:v>
      </x:c>
      <x:c r="B354" t="str">
        <x:f>'Weekly Projections'!A144</x:f>
        <x:v>DeVonta Smith</x:v>
      </x:c>
      <x:c r="C354" t="str">
        <x:f>'Weekly Projections'!B144</x:f>
        <x:v>PHI</x:v>
      </x:c>
      <x:c r="D354" t="str">
        <x:f>"FLEX"</x:f>
        <x:v>FLEX</x:v>
      </x:c>
      <x:c r="E354" t="n">
        <x:f>'Weekly Projections'!BA144</x:f>
        <x:v>1</x:v>
      </x:c>
      <x:c r="F354" t="n">
        <x:f>'Weekly Projections'!AW144</x:f>
        <x:v>11.227680000000003</x:v>
      </x:c>
    </x:row>
    <x:row r="355">
      <x:c r="A355" t="n">
        <x:f>32</x:f>
        <x:v>32</x:v>
      </x:c>
      <x:c r="B355" t="str">
        <x:f>'Weekly Projections'!A55</x:f>
        <x:v>D'Andre Swift</x:v>
      </x:c>
      <x:c r="C355" t="str">
        <x:f>'Weekly Projections'!B55</x:f>
        <x:v>CHI</x:v>
      </x:c>
      <x:c r="D355" t="str">
        <x:f>"FLEX"</x:f>
        <x:v>FLEX</x:v>
      </x:c>
      <x:c r="E355" t="n">
        <x:f>'Weekly Projections'!BA55</x:f>
        <x:v>2</x:v>
      </x:c>
      <x:c r="F355" t="n">
        <x:f>'Weekly Projections'!AW55</x:f>
        <x:v>11.151595141700406</x:v>
      </x:c>
    </x:row>
    <x:row r="356">
      <x:c r="A356" t="n">
        <x:f>33</x:f>
        <x:v>33</x:v>
      </x:c>
      <x:c r="B356" t="str">
        <x:f>'Weekly Projections'!A56</x:f>
        <x:v>Quinshon Judkins</x:v>
      </x:c>
      <x:c r="C356" t="str">
        <x:f>'Weekly Projections'!B56</x:f>
        <x:v>CLE</x:v>
      </x:c>
      <x:c r="D356" t="str">
        <x:f>"FLEX"</x:f>
        <x:v>FLEX</x:v>
      </x:c>
      <x:c r="E356" t="n">
        <x:f>'Weekly Projections'!BA56</x:f>
        <x:v>2</x:v>
      </x:c>
      <x:c r="F356" t="n">
        <x:f>'Weekly Projections'!AW56</x:f>
        <x:v>11.061200809716599</x:v>
      </x:c>
    </x:row>
    <x:row r="357">
      <x:c r="A357" t="n">
        <x:f>34</x:f>
        <x:v>34</x:v>
      </x:c>
      <x:c r="B357" t="str">
        <x:f>'Weekly Projections'!A145</x:f>
        <x:v>DJ Moore</x:v>
      </x:c>
      <x:c r="C357" t="str">
        <x:f>'Weekly Projections'!B145</x:f>
        <x:v>BUF</x:v>
      </x:c>
      <x:c r="D357" t="str">
        <x:f>"FLEX"</x:f>
        <x:v>FLEX</x:v>
      </x:c>
      <x:c r="E357" t="n">
        <x:f>'Weekly Projections'!BA145</x:f>
        <x:v>1</x:v>
      </x:c>
      <x:c r="F357" t="n">
        <x:f>'Weekly Projections'!AW145</x:f>
        <x:v>10.793110724637682</x:v>
      </x:c>
    </x:row>
    <x:row r="358">
      <x:c r="A358" t="n">
        <x:f>35</x:f>
        <x:v>35</x:v>
      </x:c>
      <x:c r="B358" t="str">
        <x:f>'Weekly Projections'!A243</x:f>
        <x:v>Brock Bowers</x:v>
      </x:c>
      <x:c r="C358" t="str">
        <x:f>'Weekly Projections'!B243</x:f>
        <x:v>LV</x:v>
      </x:c>
      <x:c r="D358" t="str">
        <x:f>"FLEX"</x:f>
        <x:v>FLEX</x:v>
      </x:c>
      <x:c r="E358" t="n">
        <x:f>'Weekly Projections'!BA243</x:f>
        <x:v>1</x:v>
      </x:c>
      <x:c r="F358" t="n">
        <x:f>'Weekly Projections'!AW243</x:f>
        <x:v>10.73003514348786</x:v>
      </x:c>
    </x:row>
    <x:row r="359">
      <x:c r="A359" t="n">
        <x:f>36</x:f>
        <x:v>36</x:v>
      </x:c>
      <x:c r="B359" t="str">
        <x:f>'Weekly Projections'!A146</x:f>
        <x:v>Tee Higgins</x:v>
      </x:c>
      <x:c r="C359" t="str">
        <x:f>'Weekly Projections'!B146</x:f>
        <x:v>CIN</x:v>
      </x:c>
      <x:c r="D359" t="str">
        <x:f>"FLEX"</x:f>
        <x:v>FLEX</x:v>
      </x:c>
      <x:c r="E359" t="n">
        <x:f>'Weekly Projections'!BA146</x:f>
        <x:v>1</x:v>
      </x:c>
      <x:c r="F359" t="n">
        <x:f>'Weekly Projections'!AW146</x:f>
        <x:v>10.726832173913042</x:v>
      </x:c>
    </x:row>
    <x:row r="360">
      <x:c r="A360" t="n">
        <x:f>37</x:f>
        <x:v>37</x:v>
      </x:c>
      <x:c r="B360" t="str">
        <x:f>'Weekly Projections'!A57</x:f>
        <x:v>TreVeyon Henderson</x:v>
      </x:c>
      <x:c r="C360" t="str">
        <x:f>'Weekly Projections'!B57</x:f>
        <x:v>NE</x:v>
      </x:c>
      <x:c r="D360" t="str">
        <x:f>"FLEX"</x:f>
        <x:v>FLEX</x:v>
      </x:c>
      <x:c r="E360" t="n">
        <x:f>'Weekly Projections'!BA57</x:f>
        <x:v>3</x:v>
      </x:c>
      <x:c r="F360" t="n">
        <x:f>'Weekly Projections'!AW57</x:f>
        <x:v>10.696187854251013</x:v>
      </x:c>
    </x:row>
    <x:row r="361">
      <x:c r="A361" t="n">
        <x:f>38</x:f>
        <x:v>38</x:v>
      </x:c>
      <x:c r="B361" t="str">
        <x:f>'Weekly Projections'!A148</x:f>
        <x:v>Garrett Wilson</x:v>
      </x:c>
      <x:c r="C361" t="str">
        <x:f>'Weekly Projections'!B148</x:f>
        <x:v>NYJ</x:v>
      </x:c>
      <x:c r="D361" t="str">
        <x:f>"FLEX"</x:f>
        <x:v>FLEX</x:v>
      </x:c>
      <x:c r="E361" t="n">
        <x:f>'Weekly Projections'!BA148</x:f>
        <x:v>2</x:v>
      </x:c>
      <x:c r="F361" t="n">
        <x:f>'Weekly Projections'!AW148</x:f>
        <x:v>10.673001739130436</x:v>
      </x:c>
    </x:row>
    <x:row r="362">
      <x:c r="A362" t="n">
        <x:f>39</x:f>
        <x:v>39</x:v>
      </x:c>
      <x:c r="B362" t="str">
        <x:f>'Weekly Projections'!A58</x:f>
        <x:v>Aaron Jones Sr.</x:v>
      </x:c>
      <x:c r="C362" t="str">
        <x:f>'Weekly Projections'!B58</x:f>
        <x:v>MIN</x:v>
      </x:c>
      <x:c r="D362" t="str">
        <x:f>"FLEX"</x:f>
        <x:v>FLEX</x:v>
      </x:c>
      <x:c r="E362" t="n">
        <x:f>'Weekly Projections'!BA58</x:f>
        <x:v>3</x:v>
      </x:c>
      <x:c r="F362" t="n">
        <x:f>'Weekly Projections'!AW58</x:f>
        <x:v>10.604696356275303</x:v>
      </x:c>
    </x:row>
    <x:row r="363">
      <x:c r="A363" t="n">
        <x:f>40</x:f>
        <x:v>40</x:v>
      </x:c>
      <x:c r="B363" t="str">
        <x:f>'Weekly Projections'!A149</x:f>
        <x:v>Jameson Williams</x:v>
      </x:c>
      <x:c r="C363" t="str">
        <x:f>'Weekly Projections'!B149</x:f>
        <x:v>DET</x:v>
      </x:c>
      <x:c r="D363" t="str">
        <x:f>"FLEX"</x:f>
        <x:v>FLEX</x:v>
      </x:c>
      <x:c r="E363" t="n">
        <x:f>'Weekly Projections'!BA149</x:f>
        <x:v>2</x:v>
      </x:c>
      <x:c r="F363" t="n">
        <x:f>'Weekly Projections'!AW149</x:f>
        <x:v>10.581374782608696</x:v>
      </x:c>
    </x:row>
    <x:row r="364">
      <x:c r="A364" t="n">
        <x:f>41</x:f>
        <x:v>41</x:v>
      </x:c>
      <x:c r="B364" t="str">
        <x:f>'Weekly Projections'!A244</x:f>
        <x:v>Mark Andrews</x:v>
      </x:c>
      <x:c r="C364" t="str">
        <x:f>'Weekly Projections'!B244</x:f>
        <x:v>BAL</x:v>
      </x:c>
      <x:c r="D364" t="str">
        <x:f>"FLEX"</x:f>
        <x:v>FLEX</x:v>
      </x:c>
      <x:c r="E364" t="n">
        <x:f>'Weekly Projections'!BA244</x:f>
        <x:v>1</x:v>
      </x:c>
      <x:c r="F364" t="n">
        <x:f>'Weekly Projections'!AW244</x:f>
        <x:v>10.522598781456953</x:v>
      </x:c>
    </x:row>
    <x:row r="365">
      <x:c r="A365" t="n">
        <x:f>42</x:f>
        <x:v>42</x:v>
      </x:c>
      <x:c r="B365" t="str">
        <x:f>'Weekly Projections'!A150</x:f>
        <x:v>Emeka Egbuka</x:v>
      </x:c>
      <x:c r="C365" t="str">
        <x:f>'Weekly Projections'!B150</x:f>
        <x:v>TB</x:v>
      </x:c>
      <x:c r="D365" t="str">
        <x:f>"FLEX"</x:f>
        <x:v>FLEX</x:v>
      </x:c>
      <x:c r="E365" t="n">
        <x:f>'Weekly Projections'!BA150</x:f>
        <x:v>2</x:v>
      </x:c>
      <x:c r="F365" t="n">
        <x:f>'Weekly Projections'!AW150</x:f>
        <x:v>10.515384347826089</x:v>
      </x:c>
    </x:row>
    <x:row r="366">
      <x:c r="A366" t="n">
        <x:f>43</x:f>
        <x:v>43</x:v>
      </x:c>
      <x:c r="B366" t="str">
        <x:f>'Weekly Projections'!A245</x:f>
        <x:v>Sam LaPorta</x:v>
      </x:c>
      <x:c r="C366" t="str">
        <x:f>'Weekly Projections'!B245</x:f>
        <x:v>DET</x:v>
      </x:c>
      <x:c r="D366" t="str">
        <x:f>"FLEX"</x:f>
        <x:v>FLEX</x:v>
      </x:c>
      <x:c r="E366" t="n">
        <x:f>'Weekly Projections'!BA245</x:f>
        <x:v>1</x:v>
      </x:c>
      <x:c r="F366" t="n">
        <x:f>'Weekly Projections'!AW245</x:f>
        <x:v>10.363162649006622</x:v>
      </x:c>
    </x:row>
    <x:row r="367">
      <x:c r="A367" t="n">
        <x:f>44</x:f>
        <x:v>44</x:v>
      </x:c>
      <x:c r="B367" t="str">
        <x:f>'Weekly Projections'!A151</x:f>
        <x:v>Marvin Harrison Jr.</x:v>
      </x:c>
      <x:c r="C367" t="str">
        <x:f>'Weekly Projections'!B151</x:f>
        <x:v>ARI</x:v>
      </x:c>
      <x:c r="D367" t="str">
        <x:f>"FLEX"</x:f>
        <x:v>FLEX</x:v>
      </x:c>
      <x:c r="E367" t="n">
        <x:f>'Weekly Projections'!BA151</x:f>
        <x:v>2</x:v>
      </x:c>
      <x:c r="F367" t="n">
        <x:f>'Weekly Projections'!AW151</x:f>
        <x:v>10.102260869565217</x:v>
      </x:c>
    </x:row>
    <x:row r="368">
      <x:c r="A368" t="n">
        <x:f>45</x:f>
        <x:v>45</x:v>
      </x:c>
      <x:c r="B368" t="str">
        <x:f>'Weekly Projections'!A59</x:f>
        <x:v>Jaylen Warren</x:v>
      </x:c>
      <x:c r="C368" t="str">
        <x:f>'Weekly Projections'!B59</x:f>
        <x:v>PIT</x:v>
      </x:c>
      <x:c r="D368" t="str">
        <x:f>"FLEX"</x:f>
        <x:v>FLEX</x:v>
      </x:c>
      <x:c r="E368" t="n">
        <x:f>'Weekly Projections'!BA59</x:f>
        <x:v>3</x:v>
      </x:c>
      <x:c r="F368" t="n">
        <x:f>'Weekly Projections'!AW59</x:f>
        <x:v>9.955734412955469</x:v>
      </x:c>
    </x:row>
    <x:row r="369">
      <x:c r="A369" t="n">
        <x:f>46</x:f>
        <x:v>46</x:v>
      </x:c>
      <x:c r="B369" t="str">
        <x:f>'Weekly Projections'!A162</x:f>
        <x:v>Matthew Golden</x:v>
      </x:c>
      <x:c r="C369" t="str">
        <x:f>'Weekly Projections'!B162</x:f>
        <x:v>GB</x:v>
      </x:c>
      <x:c r="D369" t="str">
        <x:f>"FLEX"</x:f>
        <x:v>FLEX</x:v>
      </x:c>
      <x:c r="E369" t="n">
        <x:f>'Weekly Projections'!BA162</x:f>
        <x:v>3</x:v>
      </x:c>
      <x:c r="F369" t="n">
        <x:f>'Weekly Projections'!AW162</x:f>
        <x:v>9.875420289855072</x:v>
      </x:c>
    </x:row>
    <x:row r="370">
      <x:c r="A370" t="n">
        <x:f>47</x:f>
        <x:v>47</x:v>
      </x:c>
      <x:c r="B370" t="str">
        <x:f>'Weekly Projections'!A154</x:f>
        <x:v>Tetairoa McMillan</x:v>
      </x:c>
      <x:c r="C370" t="str">
        <x:f>'Weekly Projections'!B154</x:f>
        <x:v>CAR</x:v>
      </x:c>
      <x:c r="D370" t="str">
        <x:f>"FLEX"</x:f>
        <x:v>FLEX</x:v>
      </x:c>
      <x:c r="E370" t="n">
        <x:f>'Weekly Projections'!BA154</x:f>
        <x:v>2</x:v>
      </x:c>
      <x:c r="F370" t="n">
        <x:f>'Weekly Projections'!AW154</x:f>
        <x:v>9.8384</x:v>
      </x:c>
    </x:row>
    <x:row r="371">
      <x:c r="A371" t="n">
        <x:f>48</x:f>
        <x:v>48</x:v>
      </x:c>
      <x:c r="B371" t="str">
        <x:f>'Weekly Projections'!A252</x:f>
        <x:v>Tucker Kraft</x:v>
      </x:c>
      <x:c r="C371" t="str">
        <x:f>'Weekly Projections'!B252</x:f>
        <x:v>GB</x:v>
      </x:c>
      <x:c r="D371" t="str">
        <x:f>"FLEX"</x:f>
        <x:v>FLEX</x:v>
      </x:c>
      <x:c r="E371" t="n">
        <x:f>'Weekly Projections'!BA252</x:f>
        <x:v>2</x:v>
      </x:c>
      <x:c r="F371" t="n">
        <x:f>'Weekly Projections'!AW252</x:f>
        <x:v>9.79</x:v>
      </x:c>
    </x:row>
    <x:row r="372">
      <x:c r="A372" t="n">
        <x:f>49</x:f>
        <x:v>49</x:v>
      </x:c>
      <x:c r="B372" t="str">
        <x:f>'Weekly Projections'!A60</x:f>
        <x:v>Bhayshul Tuten</x:v>
      </x:c>
      <x:c r="C372" t="str">
        <x:f>'Weekly Projections'!B60</x:f>
        <x:v>JAC</x:v>
      </x:c>
      <x:c r="D372" t="str">
        <x:f>"FLEX"</x:f>
        <x:v>FLEX</x:v>
      </x:c>
      <x:c r="E372" t="n">
        <x:f>'Weekly Projections'!BA60</x:f>
        <x:v>3</x:v>
      </x:c>
      <x:c r="F372" t="n">
        <x:f>'Weekly Projections'!AW60</x:f>
        <x:v>9.700000000000001</x:v>
      </x:c>
    </x:row>
    <x:row r="373">
      <x:c r="A373" t="n">
        <x:f>50</x:f>
        <x:v>50</x:v>
      </x:c>
      <x:c r="B373" t="str">
        <x:f>'Weekly Projections'!A246</x:f>
        <x:v>Dalton Kincaid</x:v>
      </x:c>
      <x:c r="C373" t="str">
        <x:f>'Weekly Projections'!B246</x:f>
        <x:v>BUF</x:v>
      </x:c>
      <x:c r="D373" t="str">
        <x:f>"FLEX"</x:f>
        <x:v>FLEX</x:v>
      </x:c>
      <x:c r="E373" t="n">
        <x:f>'Weekly Projections'!BA246</x:f>
        <x:v>1</x:v>
      </x:c>
      <x:c r="F373" t="n">
        <x:f>'Weekly Projections'!AW246</x:f>
        <x:v>9.640121854304637</x:v>
      </x:c>
    </x:row>
    <x:row r="374">
      <x:c r="A374" t="n">
        <x:f>51</x:f>
        <x:v>51</x:v>
      </x:c>
      <x:c r="B374" t="str">
        <x:f>'Weekly Projections'!A158</x:f>
        <x:v>Terry McLaurin</x:v>
      </x:c>
      <x:c r="C374" t="str">
        <x:f>'Weekly Projections'!B158</x:f>
        <x:v>WAS</x:v>
      </x:c>
      <x:c r="D374" t="str">
        <x:f>"FLEX"</x:f>
        <x:v>FLEX</x:v>
      </x:c>
      <x:c r="E374" t="n">
        <x:f>'Weekly Projections'!BA158</x:f>
        <x:v>2</x:v>
      </x:c>
      <x:c r="F374" t="n">
        <x:f>'Weekly Projections'!AW158</x:f>
        <x:v>9.324989565217392</x:v>
      </x:c>
    </x:row>
    <x:row r="375">
      <x:c r="A375" t="n">
        <x:f>52</x:f>
        <x:v>52</x:v>
      </x:c>
      <x:c r="B375" t="str">
        <x:f>'Weekly Projections'!A61</x:f>
        <x:v>Cam Skattebo</x:v>
      </x:c>
      <x:c r="C375" t="str">
        <x:f>'Weekly Projections'!B61</x:f>
        <x:v>NYG</x:v>
      </x:c>
      <x:c r="D375" t="str">
        <x:f>"FLEX"</x:f>
        <x:v>FLEX</x:v>
      </x:c>
      <x:c r="E375" t="n">
        <x:f>'Weekly Projections'!BA61</x:f>
        <x:v>3</x:v>
      </x:c>
      <x:c r="F375" t="n">
        <x:f>'Weekly Projections'!AW61</x:f>
        <x:v>9.32400408097166</x:v>
      </x:c>
    </x:row>
    <x:row r="376">
      <x:c r="A376" t="n">
        <x:f>53</x:f>
        <x:v>53</x:v>
      </x:c>
      <x:c r="B376" t="str">
        <x:f>'Weekly Projections'!A62</x:f>
        <x:v>Travis Etienne Jr.</x:v>
      </x:c>
      <x:c r="C376" t="str">
        <x:f>'Weekly Projections'!B62</x:f>
        <x:v>NO</x:v>
      </x:c>
      <x:c r="D376" t="str">
        <x:f>"FLEX"</x:f>
        <x:v>FLEX</x:v>
      </x:c>
      <x:c r="E376" t="n">
        <x:f>'Weekly Projections'!BA62</x:f>
        <x:v>3</x:v>
      </x:c>
      <x:c r="F376" t="n">
        <x:f>'Weekly Projections'!AW62</x:f>
        <x:v>9.316275303643726</x:v>
      </x:c>
    </x:row>
    <x:row r="377">
      <x:c r="A377" t="n">
        <x:f>54</x:f>
        <x:v>54</x:v>
      </x:c>
      <x:c r="B377" t="str">
        <x:f>'Weekly Projections'!A159</x:f>
        <x:v>DK Metcalf</x:v>
      </x:c>
      <x:c r="C377" t="str">
        <x:f>'Weekly Projections'!B159</x:f>
        <x:v>PIT</x:v>
      </x:c>
      <x:c r="D377" t="str">
        <x:f>"FLEX"</x:f>
        <x:v>FLEX</x:v>
      </x:c>
      <x:c r="E377" t="n">
        <x:f>'Weekly Projections'!BA159</x:f>
        <x:v>3</x:v>
      </x:c>
      <x:c r="F377" t="n">
        <x:f>'Weekly Projections'!AW159</x:f>
        <x:v>9.227217391304348</x:v>
      </x:c>
    </x:row>
    <x:row r="378">
      <x:c r="A378" t="n">
        <x:f>55</x:f>
        <x:v>55</x:v>
      </x:c>
      <x:c r="B378" t="str">
        <x:f>'Weekly Projections'!A248</x:f>
        <x:v>Harold Fannin Jr.</x:v>
      </x:c>
      <x:c r="C378" t="str">
        <x:f>'Weekly Projections'!B248</x:f>
        <x:v>CLE</x:v>
      </x:c>
      <x:c r="D378" t="str">
        <x:f>"FLEX"</x:f>
        <x:v>FLEX</x:v>
      </x:c>
      <x:c r="E378" t="n">
        <x:f>'Weekly Projections'!BA248</x:f>
        <x:v>2</x:v>
      </x:c>
      <x:c r="F378" t="n">
        <x:f>'Weekly Projections'!AW248</x:f>
        <x:v>9.161518410596026</x:v>
      </x:c>
    </x:row>
    <x:row r="379">
      <x:c r="A379" t="n">
        <x:f>56</x:f>
        <x:v>56</x:v>
      </x:c>
      <x:c r="B379" t="str">
        <x:f>'Weekly Projections'!A160</x:f>
        <x:v>Jaylen Waddle</x:v>
      </x:c>
      <x:c r="C379" t="str">
        <x:f>'Weekly Projections'!B160</x:f>
        <x:v>DEN</x:v>
      </x:c>
      <x:c r="D379" t="str">
        <x:f>"FLEX"</x:f>
        <x:v>FLEX</x:v>
      </x:c>
      <x:c r="E379" t="n">
        <x:f>'Weekly Projections'!BA160</x:f>
        <x:v>3</x:v>
      </x:c>
      <x:c r="F379" t="n">
        <x:f>'Weekly Projections'!AW160</x:f>
        <x:v>9.154434782608698</x:v>
      </x:c>
    </x:row>
    <x:row r="380">
      <x:c r="A380" t="n">
        <x:f>57</x:f>
        <x:v>57</x:v>
      </x:c>
      <x:c r="B380" t="str">
        <x:f>'Weekly Projections'!A161</x:f>
        <x:v>Mike Evans</x:v>
      </x:c>
      <x:c r="C380" t="str">
        <x:f>'Weekly Projections'!B161</x:f>
        <x:v>SF</x:v>
      </x:c>
      <x:c r="D380" t="str">
        <x:f>"FLEX"</x:f>
        <x:v>FLEX</x:v>
      </x:c>
      <x:c r="E380" t="n">
        <x:f>'Weekly Projections'!BA161</x:f>
        <x:v>3</x:v>
      </x:c>
      <x:c r="F380" t="n">
        <x:f>'Weekly Projections'!AW161</x:f>
        <x:v>9.140869565217391</x:v>
      </x:c>
    </x:row>
    <x:row r="381">
      <x:c r="A381" t="n">
        <x:f>58</x:f>
        <x:v>58</x:v>
      </x:c>
      <x:c r="B381" t="str">
        <x:f>'Weekly Projections'!A249</x:f>
        <x:v>Tyler Warren</x:v>
      </x:c>
      <x:c r="C381" t="str">
        <x:f>'Weekly Projections'!B249</x:f>
        <x:v>IND</x:v>
      </x:c>
      <x:c r="D381" t="str">
        <x:f>"FLEX"</x:f>
        <x:v>FLEX</x:v>
      </x:c>
      <x:c r="E381" t="n">
        <x:f>'Weekly Projections'!BA249</x:f>
        <x:v>2</x:v>
      </x:c>
      <x:c r="F381" t="n">
        <x:f>'Weekly Projections'!AW249</x:f>
        <x:v>9.135099337748345</x:v>
      </x:c>
    </x:row>
    <x:row r="382">
      <x:c r="A382" t="n">
        <x:f>59</x:f>
        <x:v>59</x:v>
      </x:c>
      <x:c r="B382" t="str">
        <x:f>'Weekly Projections'!A63</x:f>
        <x:v>Jadarian Price</x:v>
      </x:c>
      <x:c r="C382" t="str">
        <x:f>'Weekly Projections'!B63</x:f>
        <x:v>SEA</x:v>
      </x:c>
      <x:c r="D382" t="str">
        <x:f>"FLEX"</x:f>
        <x:v>FLEX</x:v>
      </x:c>
      <x:c r="E382" t="n">
        <x:f>'Weekly Projections'!BA63</x:f>
        <x:v>3</x:v>
      </x:c>
      <x:c r="F382" t="n">
        <x:f>'Weekly Projections'!AW63</x:f>
        <x:v>9</x:v>
      </x:c>
    </x:row>
    <x:row r="383">
      <x:c r="A383" t="n">
        <x:f>60</x:f>
        <x:v>60</x:v>
      </x:c>
      <x:c r="B383" t="str">
        <x:f>'Weekly Projections'!A253</x:f>
        <x:v>Terrance Ferguson</x:v>
      </x:c>
      <x:c r="C383" t="str">
        <x:f>'Weekly Projections'!B253</x:f>
        <x:v>LAR</x:v>
      </x:c>
      <x:c r="D383" t="str">
        <x:f>"FLEX"</x:f>
        <x:v>FLEX</x:v>
      </x:c>
      <x:c r="E383" t="n">
        <x:f>'Weekly Projections'!BA253</x:f>
        <x:v>2</x:v>
      </x:c>
      <x:c r="F383" t="n">
        <x:f>'Weekly Projections'!AW253</x:f>
        <x:v>9</x:v>
      </x:c>
    </x:row>
    <x:row r="384">
      <x:c r="A384" t="n">
        <x:f>61</x:f>
        <x:v>61</x:v>
      </x:c>
      <x:c r="B384" t="str">
        <x:f>'Weekly Projections'!A163</x:f>
        <x:v>Ladd McConkey</x:v>
      </x:c>
      <x:c r="C384" t="str">
        <x:f>'Weekly Projections'!B163</x:f>
        <x:v>LAC</x:v>
      </x:c>
      <x:c r="D384" t="str">
        <x:f>"FLEX"</x:f>
        <x:v>FLEX</x:v>
      </x:c>
      <x:c r="E384" t="n">
        <x:f>'Weekly Projections'!BA163</x:f>
        <x:v>3</x:v>
      </x:c>
      <x:c r="F384" t="n">
        <x:f>'Weekly Projections'!AW163</x:f>
        <x:v>8.964849855072465</x:v>
      </x:c>
    </x:row>
    <x:row r="385">
      <x:c r="A385" t="n">
        <x:f>62</x:f>
        <x:v>62</x:v>
      </x:c>
      <x:c r="B385" t="str">
        <x:f>'Weekly Projections'!A164</x:f>
        <x:v>Courtland Sutton</x:v>
      </x:c>
      <x:c r="C385" t="str">
        <x:f>'Weekly Projections'!B164</x:f>
        <x:v>DEN</x:v>
      </x:c>
      <x:c r="D385" t="str">
        <x:f>"FLEX"</x:f>
        <x:v>FLEX</x:v>
      </x:c>
      <x:c r="E385" t="n">
        <x:f>'Weekly Projections'!BA164</x:f>
        <x:v>3</x:v>
      </x:c>
      <x:c r="F385" t="n">
        <x:f>'Weekly Projections'!AW164</x:f>
        <x:v>8.957565217391306</x:v>
      </x:c>
    </x:row>
    <x:row r="386">
      <x:c r="A386" t="n">
        <x:f>63</x:f>
        <x:v>63</x:v>
      </x:c>
      <x:c r="B386" t="str">
        <x:f>'Weekly Projections'!A165</x:f>
        <x:v>Wan'Dale Robinson</x:v>
      </x:c>
      <x:c r="C386" t="str">
        <x:f>'Weekly Projections'!B165</x:f>
        <x:v>TEN</x:v>
      </x:c>
      <x:c r="D386" t="str">
        <x:f>"FLEX"</x:f>
        <x:v>FLEX</x:v>
      </x:c>
      <x:c r="E386" t="n">
        <x:f>'Weekly Projections'!BA165</x:f>
        <x:v>3</x:v>
      </x:c>
      <x:c r="F386" t="n">
        <x:f>'Weekly Projections'!AW165</x:f>
        <x:v>8.921113043478261</x:v>
      </x:c>
    </x:row>
    <x:row r="387">
      <x:c r="A387" t="n">
        <x:f>64</x:f>
        <x:v>64</x:v>
      </x:c>
      <x:c r="B387" t="str">
        <x:f>'Weekly Projections'!A166</x:f>
        <x:v>Parker Washington</x:v>
      </x:c>
      <x:c r="C387" t="str">
        <x:f>'Weekly Projections'!B166</x:f>
        <x:v>JAC</x:v>
      </x:c>
      <x:c r="D387" t="str">
        <x:f>"FLEX"</x:f>
        <x:v>FLEX</x:v>
      </x:c>
      <x:c r="E387" t="n">
        <x:f>'Weekly Projections'!BA166</x:f>
        <x:v>3</x:v>
      </x:c>
      <x:c r="F387" t="n">
        <x:f>'Weekly Projections'!AW166</x:f>
        <x:v>8.73113043478261</x:v>
      </x:c>
    </x:row>
    <x:row r="388">
      <x:c r="A388" t="n">
        <x:f>65</x:f>
        <x:v>65</x:v>
      </x:c>
      <x:c r="B388" t="str">
        <x:f>'Weekly Projections'!A155</x:f>
        <x:v>Malik Nabers</x:v>
      </x:c>
      <x:c r="C388" t="str">
        <x:f>'Weekly Projections'!B155</x:f>
        <x:v>NYG</x:v>
      </x:c>
      <x:c r="D388" t="str">
        <x:f>"FLEX"</x:f>
        <x:v>FLEX</x:v>
      </x:c>
      <x:c r="E388" t="n">
        <x:f>'Weekly Projections'!BA155</x:f>
        <x:v>2</x:v>
      </x:c>
      <x:c r="F388" t="n">
        <x:f>'Weekly Projections'!AW155</x:f>
        <x:v>8.70413843478261</x:v>
      </x:c>
    </x:row>
    <x:row r="389">
      <x:c r="A389" t="n">
        <x:f>66</x:f>
        <x:v>66</x:v>
      </x:c>
      <x:c r="B389" t="str">
        <x:f>'Weekly Projections'!A64</x:f>
        <x:v>Jacory Croskey-Merritt</x:v>
      </x:c>
      <x:c r="C389" t="str">
        <x:f>'Weekly Projections'!B64</x:f>
        <x:v>WAS</x:v>
      </x:c>
      <x:c r="D389" t="str">
        <x:f>"FLEX"</x:f>
        <x:v>FLEX</x:v>
      </x:c>
      <x:c r="E389" t="n">
        <x:f>'Weekly Projections'!BA64</x:f>
        <x:v>3</x:v>
      </x:c>
      <x:c r="F389" t="n">
        <x:f>'Weekly Projections'!AW64</x:f>
        <x:v>8.681757085020244</x:v>
      </x:c>
    </x:row>
    <x:row r="390">
      <x:c r="A390" t="n">
        <x:f>67</x:f>
        <x:v>67</x:v>
      </x:c>
      <x:c r="B390" t="str">
        <x:f>'Weekly Projections'!A65</x:f>
        <x:v>Rico Dowdle</x:v>
      </x:c>
      <x:c r="C390" t="str">
        <x:f>'Weekly Projections'!B65</x:f>
        <x:v>PIT</x:v>
      </x:c>
      <x:c r="D390" t="str">
        <x:f>"FLEX"</x:f>
        <x:v>FLEX</x:v>
      </x:c>
      <x:c r="E390" t="n">
        <x:f>'Weekly Projections'!BA65</x:f>
        <x:v>3</x:v>
      </x:c>
      <x:c r="F390" t="n">
        <x:f>'Weekly Projections'!AW65</x:f>
        <x:v>8.62146072874494</x:v>
      </x:c>
    </x:row>
    <x:row r="391">
      <x:c r="A391" t="n">
        <x:f>68</x:f>
        <x:v>68</x:v>
      </x:c>
      <x:c r="B391" t="str">
        <x:f>'Weekly Projections'!A251</x:f>
        <x:v>Travis Kelce</x:v>
      </x:c>
      <x:c r="C391" t="str">
        <x:f>'Weekly Projections'!B251</x:f>
        <x:v>KC</x:v>
      </x:c>
      <x:c r="D391" t="str">
        <x:f>"FLEX"</x:f>
        <x:v>FLEX</x:v>
      </x:c>
      <x:c r="E391" t="n">
        <x:f>'Weekly Projections'!BA251</x:f>
        <x:v>2</x:v>
      </x:c>
      <x:c r="F391" t="n">
        <x:f>'Weekly Projections'!AW251</x:f>
        <x:v>8.583629668874172</x:v>
      </x:c>
    </x:row>
    <x:row r="392">
      <x:c r="A392" t="n">
        <x:f>69</x:f>
        <x:v>69</x:v>
      </x:c>
      <x:c r="B392" t="str">
        <x:f>'Weekly Projections'!A147</x:f>
        <x:v>Rome Odunze</x:v>
      </x:c>
      <x:c r="C392" t="str">
        <x:f>'Weekly Projections'!B147</x:f>
        <x:v>CHI</x:v>
      </x:c>
      <x:c r="D392" t="str">
        <x:f>"FLEX"</x:f>
        <x:v>FLEX</x:v>
      </x:c>
      <x:c r="E392" t="n">
        <x:f>'Weekly Projections'!BA147</x:f>
        <x:v>2</x:v>
      </x:c>
      <x:c r="F392" t="n">
        <x:f>'Weekly Projections'!AW147</x:f>
        <x:v>8.542277101449276</x:v>
      </x:c>
    </x:row>
    <x:row r="393">
      <x:c r="A393" t="n">
        <x:f>70</x:f>
        <x:v>70</x:v>
      </x:c>
      <x:c r="B393" t="str">
        <x:f>'Weekly Projections'!A167</x:f>
        <x:v>Brian Thomas Jr.</x:v>
      </x:c>
      <x:c r="C393" t="str">
        <x:f>'Weekly Projections'!B167</x:f>
        <x:v>JAC</x:v>
      </x:c>
      <x:c r="D393" t="str">
        <x:f>"FLEX"</x:f>
        <x:v>FLEX</x:v>
      </x:c>
      <x:c r="E393" t="n">
        <x:f>'Weekly Projections'!BA167</x:f>
        <x:v>3</x:v>
      </x:c>
      <x:c r="F393" t="n">
        <x:f>'Weekly Projections'!AW167</x:f>
        <x:v>8.433478260869565</x:v>
      </x:c>
    </x:row>
    <x:row r="394">
      <x:c r="A394" t="n">
        <x:f>71</x:f>
        <x:v>71</x:v>
      </x:c>
      <x:c r="B394" t="str">
        <x:f>'Weekly Projections'!A66</x:f>
        <x:v>Tony Pollard</x:v>
      </x:c>
      <x:c r="C394" t="str">
        <x:f>'Weekly Projections'!B66</x:f>
        <x:v>TEN</x:v>
      </x:c>
      <x:c r="D394" t="str">
        <x:f>"FLEX"</x:f>
        <x:v>FLEX</x:v>
      </x:c>
      <x:c r="E394" t="n">
        <x:f>'Weekly Projections'!BA66</x:f>
        <x:v>3</x:v>
      </x:c>
      <x:c r="F394" t="n">
        <x:f>'Weekly Projections'!AW66</x:f>
        <x:v>8.415206477732795</x:v>
      </x:c>
    </x:row>
    <x:row r="395">
      <x:c r="A395" t="n">
        <x:f>72</x:f>
        <x:v>72</x:v>
      </x:c>
      <x:c r="B395" t="str">
        <x:f>'Weekly Projections'!A168</x:f>
        <x:v>Michael Pittman Jr.</x:v>
      </x:c>
      <x:c r="C395" t="str">
        <x:f>'Weekly Projections'!B168</x:f>
        <x:v>PIT</x:v>
      </x:c>
      <x:c r="D395" t="str">
        <x:f>"FLEX"</x:f>
        <x:v>FLEX</x:v>
      </x:c>
      <x:c r="E395" t="n">
        <x:f>'Weekly Projections'!BA168</x:f>
        <x:v>3</x:v>
      </x:c>
      <x:c r="F395" t="n">
        <x:f>'Weekly Projections'!AW168</x:f>
        <x:v>8.300923826086958</x:v>
      </x:c>
    </x:row>
    <x:row r="396">
      <x:c r="A396" t="n">
        <x:f>73</x:f>
        <x:v>73</x:v>
      </x:c>
      <x:c r="B396" t="str">
        <x:f>'Weekly Projections'!A169</x:f>
        <x:v>Michael Wilson</x:v>
      </x:c>
      <x:c r="C396" t="str">
        <x:f>'Weekly Projections'!B169</x:f>
        <x:v>ARI</x:v>
      </x:c>
      <x:c r="D396" t="str">
        <x:f>"FLEX"</x:f>
        <x:v>FLEX</x:v>
      </x:c>
      <x:c r="E396" t="n">
        <x:f>'Weekly Projections'!BA169</x:f>
        <x:v>3</x:v>
      </x:c>
      <x:c r="F396" t="n">
        <x:f>'Weekly Projections'!AW169</x:f>
        <x:v>8.196173913043479</x:v>
      </x:c>
    </x:row>
    <x:row r="397">
      <x:c r="A397" t="n">
        <x:f>74</x:f>
        <x:v>74</x:v>
      </x:c>
      <x:c r="B397" t="str">
        <x:f>'Weekly Projections'!A67</x:f>
        <x:v>Rhamondre Stevenson</x:v>
      </x:c>
      <x:c r="C397" t="str">
        <x:f>'Weekly Projections'!B67</x:f>
        <x:v>NE</x:v>
      </x:c>
      <x:c r="D397" t="str">
        <x:f>"FLEX"</x:f>
        <x:v>FLEX</x:v>
      </x:c>
      <x:c r="E397" t="n">
        <x:f>'Weekly Projections'!BA67</x:f>
        <x:v>4</x:v>
      </x:c>
      <x:c r="F397" t="n">
        <x:f>'Weekly Projections'!AW67</x:f>
        <x:v>7.997149797570851</x:v>
      </x:c>
    </x:row>
    <x:row r="398">
      <x:c r="A398" t="n">
        <x:f>75</x:f>
        <x:v>75</x:v>
      </x:c>
      <x:c r="B398" t="str">
        <x:f>'Weekly Projections'!A254</x:f>
        <x:v>George Kittle</x:v>
      </x:c>
      <x:c r="C398" t="str">
        <x:f>'Weekly Projections'!B254</x:f>
        <x:v>SF</x:v>
      </x:c>
      <x:c r="D398" t="str">
        <x:f>"FLEX"</x:f>
        <x:v>FLEX</x:v>
      </x:c>
      <x:c r="E398" t="n">
        <x:f>'Weekly Projections'!BA254</x:f>
        <x:v>3</x:v>
      </x:c>
      <x:c r="F398" t="n">
        <x:f>'Weekly Projections'!AW254</x:f>
        <x:v>7.919841059602649</x:v>
      </x:c>
    </x:row>
    <x:row r="399">
      <x:c r="A399" t="n">
        <x:f>76</x:f>
        <x:v>76</x:v>
      </x:c>
      <x:c r="B399" t="str">
        <x:f>'Weekly Projections'!A255</x:f>
        <x:v>Jake Ferguson</x:v>
      </x:c>
      <x:c r="C399" t="str">
        <x:f>'Weekly Projections'!B255</x:f>
        <x:v>DAL</x:v>
      </x:c>
      <x:c r="D399" t="str">
        <x:f>"FLEX"</x:f>
        <x:v>FLEX</x:v>
      </x:c>
      <x:c r="E399" t="n">
        <x:f>'Weekly Projections'!BA255</x:f>
        <x:v>3</x:v>
      </x:c>
      <x:c r="F399" t="n">
        <x:f>'Weekly Projections'!AW255</x:f>
        <x:v>7.91743046357616</x:v>
      </x:c>
    </x:row>
    <x:row r="400">
      <x:c r="A400" t="n">
        <x:f>77</x:f>
        <x:v>77</x:v>
      </x:c>
      <x:c r="B400" t="str">
        <x:f>'Weekly Projections'!A68</x:f>
        <x:v>Chuba Hubbard</x:v>
      </x:c>
      <x:c r="C400" t="str">
        <x:f>'Weekly Projections'!B68</x:f>
        <x:v>CAR</x:v>
      </x:c>
      <x:c r="D400" t="str">
        <x:f>"FLEX"</x:f>
        <x:v>FLEX</x:v>
      </x:c>
      <x:c r="E400" t="n">
        <x:f>'Weekly Projections'!BA68</x:f>
        <x:v>4</x:v>
      </x:c>
      <x:c r="F400" t="n">
        <x:f>'Weekly Projections'!AW68</x:f>
        <x:v>7.814302834008098</x:v>
      </x:c>
    </x:row>
    <x:row r="401">
      <x:c r="A401" t="n">
        <x:f>78</x:f>
        <x:v>78</x:v>
      </x:c>
      <x:c r="B401" t="str">
        <x:f>'Weekly Projections'!A171</x:f>
        <x:v>Jordan Addison</x:v>
      </x:c>
      <x:c r="C401" t="str">
        <x:f>'Weekly Projections'!B171</x:f>
        <x:v>MIN</x:v>
      </x:c>
      <x:c r="D401" t="str">
        <x:f>"FLEX"</x:f>
        <x:v>FLEX</x:v>
      </x:c>
      <x:c r="E401" t="n">
        <x:f>'Weekly Projections'!BA171</x:f>
        <x:v>4</x:v>
      </x:c>
      <x:c r="F401" t="n">
        <x:f>'Weekly Projections'!AW171</x:f>
        <x:v>7.799389565217392</x:v>
      </x:c>
    </x:row>
    <x:row r="402">
      <x:c r="A402" t="n">
        <x:f>79</x:f>
        <x:v>79</x:v>
      </x:c>
      <x:c r="B402" t="str">
        <x:f>'Weekly Projections'!A250</x:f>
        <x:v>Isaiah Likely</x:v>
      </x:c>
      <x:c r="C402" t="str">
        <x:f>'Weekly Projections'!B250</x:f>
        <x:v>NYG</x:v>
      </x:c>
      <x:c r="D402" t="str">
        <x:f>"FLEX"</x:f>
        <x:v>FLEX</x:v>
      </x:c>
      <x:c r="E402" t="n">
        <x:f>'Weekly Projections'!BA250</x:f>
        <x:v>2</x:v>
      </x:c>
      <x:c r="F402" t="n">
        <x:f>'Weekly Projections'!AW250</x:f>
        <x:v>7.79271586754967</x:v>
      </x:c>
    </x:row>
    <x:row r="403">
      <x:c r="A403" t="n">
        <x:f>80</x:f>
        <x:v>80</x:v>
      </x:c>
      <x:c r="B403" t="str">
        <x:f>'Weekly Projections'!A69</x:f>
        <x:v>Kyle Monangai</x:v>
      </x:c>
      <x:c r="C403" t="str">
        <x:f>'Weekly Projections'!B69</x:f>
        <x:v>CHI</x:v>
      </x:c>
      <x:c r="D403" t="str">
        <x:f>"FLEX"</x:f>
        <x:v>FLEX</x:v>
      </x:c>
      <x:c r="E403" t="n">
        <x:f>'Weekly Projections'!BA69</x:f>
        <x:v>4</x:v>
      </x:c>
      <x:c r="F403" t="n">
        <x:f>'Weekly Projections'!AW69</x:f>
        <x:v>7.741603238866397</x:v>
      </x:c>
    </x:row>
    <x:row r="404">
      <x:c r="A404" t="n">
        <x:f>81</x:f>
        <x:v>81</x:v>
      </x:c>
      <x:c r="B404" t="str">
        <x:f>'Weekly Projections'!A70</x:f>
        <x:v>Kenny Gainwell</x:v>
      </x:c>
      <x:c r="C404" t="str">
        <x:f>'Weekly Projections'!B70</x:f>
        <x:v>TB</x:v>
      </x:c>
      <x:c r="D404" t="str">
        <x:f>"FLEX"</x:f>
        <x:v>FLEX</x:v>
      </x:c>
      <x:c r="E404" t="n">
        <x:f>'Weekly Projections'!BA70</x:f>
        <x:v>4</x:v>
      </x:c>
      <x:c r="F404" t="n">
        <x:f>'Weekly Projections'!AW70</x:f>
        <x:v>7.699314170040487</x:v>
      </x:c>
    </x:row>
    <x:row r="405">
      <x:c r="A405" t="n">
        <x:f>82</x:f>
        <x:v>82</x:v>
      </x:c>
      <x:c r="B405" t="str">
        <x:f>'Weekly Projections'!A256</x:f>
        <x:v>Juwan Johnson</x:v>
      </x:c>
      <x:c r="C405" t="str">
        <x:f>'Weekly Projections'!B256</x:f>
        <x:v>NO</x:v>
      </x:c>
      <x:c r="D405" t="str">
        <x:f>"FLEX"</x:f>
        <x:v>FLEX</x:v>
      </x:c>
      <x:c r="E405" t="n">
        <x:f>'Weekly Projections'!BA256</x:f>
        <x:v>3</x:v>
      </x:c>
      <x:c r="F405" t="n">
        <x:f>'Weekly Projections'!AW256</x:f>
        <x:v>7.6408476821192055</x:v>
      </x:c>
    </x:row>
    <x:row r="406">
      <x:c r="A406" t="n">
        <x:f>83</x:f>
        <x:v>83</x:v>
      </x:c>
      <x:c r="B406" t="str">
        <x:f>'Weekly Projections'!A247</x:f>
        <x:v>Colston Loveland</x:v>
      </x:c>
      <x:c r="C406" t="str">
        <x:f>'Weekly Projections'!B247</x:f>
        <x:v>CHI</x:v>
      </x:c>
      <x:c r="D406" t="str">
        <x:f>"FLEX"</x:f>
        <x:v>FLEX</x:v>
      </x:c>
      <x:c r="E406" t="n">
        <x:f>'Weekly Projections'!BA247</x:f>
        <x:v>1</x:v>
      </x:c>
      <x:c r="F406" t="n">
        <x:f>'Weekly Projections'!AW247</x:f>
        <x:v>7.640000000000001</x:v>
      </x:c>
    </x:row>
    <x:row r="407">
      <x:c r="A407" t="n">
        <x:f>84</x:f>
        <x:v>84</x:v>
      </x:c>
      <x:c r="B407" t="str">
        <x:f>'Weekly Projections'!A172</x:f>
        <x:v>Xavier Worthy</x:v>
      </x:c>
      <x:c r="C407" t="str">
        <x:f>'Weekly Projections'!B172</x:f>
        <x:v>KC</x:v>
      </x:c>
      <x:c r="D407" t="str">
        <x:f>"FLEX"</x:f>
        <x:v>FLEX</x:v>
      </x:c>
      <x:c r="E407" t="n">
        <x:f>'Weekly Projections'!BA172</x:f>
        <x:v>4</x:v>
      </x:c>
      <x:c r="F407" t="n">
        <x:f>'Weekly Projections'!AW172</x:f>
        <x:v>7.543158260869568</x:v>
      </x:c>
    </x:row>
    <x:row r="408">
      <x:c r="A408" t="n">
        <x:f>85</x:f>
        <x:v>85</x:v>
      </x:c>
      <x:c r="B408" t="str">
        <x:f>'Weekly Projections'!A173</x:f>
        <x:v>Zay Flowers</x:v>
      </x:c>
      <x:c r="C408" t="str">
        <x:f>'Weekly Projections'!B173</x:f>
        <x:v>BAL</x:v>
      </x:c>
      <x:c r="D408" t="str">
        <x:f>"FLEX"</x:f>
        <x:v>FLEX</x:v>
      </x:c>
      <x:c r="E408" t="n">
        <x:f>'Weekly Projections'!BA173</x:f>
        <x:v>4</x:v>
      </x:c>
      <x:c r="F408" t="n">
        <x:f>'Weekly Projections'!AW173</x:f>
        <x:v>7.4424672</x:v>
      </x:c>
    </x:row>
    <x:row r="409">
      <x:c r="A409" t="n">
        <x:f>86</x:f>
        <x:v>86</x:v>
      </x:c>
      <x:c r="B409" t="str">
        <x:f>'Weekly Projections'!A257</x:f>
        <x:v>Brenton Strange</x:v>
      </x:c>
      <x:c r="C409" t="str">
        <x:f>'Weekly Projections'!B257</x:f>
        <x:v>JAC</x:v>
      </x:c>
      <x:c r="D409" t="str">
        <x:f>"FLEX"</x:f>
        <x:v>FLEX</x:v>
      </x:c>
      <x:c r="E409" t="n">
        <x:f>'Weekly Projections'!BA257</x:f>
        <x:v>3</x:v>
      </x:c>
      <x:c r="F409" t="n">
        <x:f>'Weekly Projections'!AW257</x:f>
        <x:v>7.442384105960265</x:v>
      </x:c>
    </x:row>
    <x:row r="410">
      <x:c r="A410" t="n">
        <x:f>87</x:f>
        <x:v>87</x:v>
      </x:c>
      <x:c r="B410" t="str">
        <x:f>'Weekly Projections'!A258</x:f>
        <x:v>Hunter Henry</x:v>
      </x:c>
      <x:c r="C410" t="str">
        <x:f>'Weekly Projections'!B258</x:f>
        <x:v>NE</x:v>
      </x:c>
      <x:c r="D410" t="str">
        <x:f>"FLEX"</x:f>
        <x:v>FLEX</x:v>
      </x:c>
      <x:c r="E410" t="n">
        <x:f>'Weekly Projections'!BA258</x:f>
        <x:v>3</x:v>
      </x:c>
      <x:c r="F410" t="n">
        <x:f>'Weekly Projections'!AW258</x:f>
        <x:v>7.397726092715233</x:v>
      </x:c>
    </x:row>
    <x:row r="411">
      <x:c r="A411" t="n">
        <x:f>88</x:f>
        <x:v>88</x:v>
      </x:c>
      <x:c r="B411" t="str">
        <x:f>'Weekly Projections'!A156</x:f>
        <x:v>Luther Burden III</x:v>
      </x:c>
      <x:c r="C411" t="str">
        <x:f>'Weekly Projections'!B156</x:f>
        <x:v>CHI</x:v>
      </x:c>
      <x:c r="D411" t="str">
        <x:f>"FLEX"</x:f>
        <x:v>FLEX</x:v>
      </x:c>
      <x:c r="E411" t="n">
        <x:f>'Weekly Projections'!BA156</x:f>
        <x:v>2</x:v>
      </x:c>
      <x:c r="F411" t="n">
        <x:f>'Weekly Projections'!AW156</x:f>
        <x:v>7.331351884057971</x:v>
      </x:c>
    </x:row>
    <x:row r="412">
      <x:c r="A412" t="n">
        <x:f>89</x:f>
        <x:v>89</x:v>
      </x:c>
      <x:c r="B412" t="str">
        <x:f>'Weekly Projections'!A72</x:f>
        <x:v>Mike Washington Jr.</x:v>
      </x:c>
      <x:c r="C412" t="str">
        <x:f>'Weekly Projections'!B72</x:f>
        <x:v>LV</x:v>
      </x:c>
      <x:c r="D412" t="str">
        <x:f>"FLEX"</x:f>
        <x:v>FLEX</x:v>
      </x:c>
      <x:c r="E412" t="n">
        <x:f>'Weekly Projections'!BA72</x:f>
        <x:v>4</x:v>
      </x:c>
      <x:c r="F412" t="n">
        <x:f>'Weekly Projections'!AW72</x:f>
        <x:v>7.26028178137652</x:v>
      </x:c>
    </x:row>
    <x:row r="413">
      <x:c r="A413" t="n">
        <x:f>90</x:f>
        <x:v>90</x:v>
      </x:c>
      <x:c r="B413" t="str">
        <x:f>'Weekly Projections'!A259</x:f>
        <x:v>Dalton Schultz</x:v>
      </x:c>
      <x:c r="C413" t="str">
        <x:f>'Weekly Projections'!B259</x:f>
        <x:v>HOU</x:v>
      </x:c>
      <x:c r="D413" t="str">
        <x:f>"FLEX"</x:f>
        <x:v>FLEX</x:v>
      </x:c>
      <x:c r="E413" t="n">
        <x:f>'Weekly Projections'!BA259</x:f>
        <x:v>3</x:v>
      </x:c>
      <x:c r="F413" t="n">
        <x:f>'Weekly Projections'!AW259</x:f>
        <x:v>7.146541774834439</x:v>
      </x:c>
    </x:row>
    <x:row r="414">
      <x:c r="A414" t="n">
        <x:f>91</x:f>
        <x:v>91</x:v>
      </x:c>
      <x:c r="B414" t="str">
        <x:f>'Weekly Projections'!A74</x:f>
        <x:v>RJ Harvey</x:v>
      </x:c>
      <x:c r="C414" t="str">
        <x:f>'Weekly Projections'!B74</x:f>
        <x:v>DEN</x:v>
      </x:c>
      <x:c r="D414" t="str">
        <x:f>"FLEX"</x:f>
        <x:v>FLEX</x:v>
      </x:c>
      <x:c r="E414" t="n">
        <x:f>'Weekly Projections'!BA74</x:f>
        <x:v>4</x:v>
      </x:c>
      <x:c r="F414" t="n">
        <x:f>'Weekly Projections'!AW74</x:f>
        <x:v>7.010206747638328</x:v>
      </x:c>
    </x:row>
    <x:row r="415">
      <x:c r="A415" t="n">
        <x:f>92</x:f>
        <x:v>92</x:v>
      </x:c>
      <x:c r="B415" t="str">
        <x:f>'Weekly Projections'!A75</x:f>
        <x:v>J.K. Dobbins</x:v>
      </x:c>
      <x:c r="C415" t="str">
        <x:f>'Weekly Projections'!B75</x:f>
        <x:v>DEN</x:v>
      </x:c>
      <x:c r="D415" t="str">
        <x:f>"FLEX"</x:f>
        <x:v>FLEX</x:v>
      </x:c>
      <x:c r="E415" t="n">
        <x:f>'Weekly Projections'!BA75</x:f>
        <x:v>4</x:v>
      </x:c>
      <x:c r="F415" t="n">
        <x:f>'Weekly Projections'!AW75</x:f>
        <x:v>7.00761133603239</x:v>
      </x:c>
    </x:row>
    <x:row r="416">
      <x:c r="A416" t="n">
        <x:f>93</x:f>
        <x:v>93</x:v>
      </x:c>
      <x:c r="B416" t="str">
        <x:f>'Weekly Projections'!A174</x:f>
        <x:v>Tre Tucker</x:v>
      </x:c>
      <x:c r="C416" t="str">
        <x:f>'Weekly Projections'!B174</x:f>
        <x:v>LV</x:v>
      </x:c>
      <x:c r="D416" t="str">
        <x:f>"FLEX"</x:f>
        <x:v>FLEX</x:v>
      </x:c>
      <x:c r="E416" t="n">
        <x:f>'Weekly Projections'!BA174</x:f>
        <x:v>4</x:v>
      </x:c>
      <x:c r="F416" t="n">
        <x:f>'Weekly Projections'!AW174</x:f>
        <x:v>6.997808695652175</x:v>
      </x:c>
    </x:row>
    <x:row r="417">
      <x:c r="A417" t="n">
        <x:f>94</x:f>
        <x:v>94</x:v>
      </x:c>
      <x:c r="B417" t="str">
        <x:f>'Weekly Projections'!A175</x:f>
        <x:v>Stefon Diggs</x:v>
      </x:c>
      <x:c r="C417" t="str">
        <x:f>'Weekly Projections'!B175</x:f>
        <x:v>WAS</x:v>
      </x:c>
      <x:c r="D417" t="str">
        <x:f>"FLEX"</x:f>
        <x:v>FLEX</x:v>
      </x:c>
      <x:c r="E417" t="n">
        <x:f>'Weekly Projections'!BA175</x:f>
        <x:v>4</x:v>
      </x:c>
      <x:c r="F417" t="n">
        <x:f>'Weekly Projections'!AW175</x:f>
        <x:v>6.825507826086957</x:v>
      </x:c>
    </x:row>
    <x:row r="418">
      <x:c r="A418" t="n">
        <x:f>95</x:f>
        <x:v>95</x:v>
      </x:c>
      <x:c r="B418" t="str">
        <x:f>'Weekly Projections'!A176</x:f>
        <x:v>Jakobi Meyers</x:v>
      </x:c>
      <x:c r="C418" t="str">
        <x:f>'Weekly Projections'!B176</x:f>
        <x:v>JAC</x:v>
      </x:c>
      <x:c r="D418" t="str">
        <x:f>"FLEX"</x:f>
        <x:v>FLEX</x:v>
      </x:c>
      <x:c r="E418" t="n">
        <x:f>'Weekly Projections'!BA176</x:f>
        <x:v>4</x:v>
      </x:c>
      <x:c r="F418" t="n">
        <x:f>'Weekly Projections'!AW176</x:f>
        <x:v>6.746782608695653</x:v>
      </x:c>
    </x:row>
    <x:row r="419">
      <x:c r="A419" t="n">
        <x:f>96</x:f>
        <x:v>96</x:v>
      </x:c>
      <x:c r="B419" t="str">
        <x:f>'Weekly Projections'!A177</x:f>
        <x:v>Quentin Johnston</x:v>
      </x:c>
      <x:c r="C419" t="str">
        <x:f>'Weekly Projections'!B177</x:f>
        <x:v>LAC</x:v>
      </x:c>
      <x:c r="D419" t="str">
        <x:f>"FLEX"</x:f>
        <x:v>FLEX</x:v>
      </x:c>
      <x:c r="E419" t="n">
        <x:f>'Weekly Projections'!BA177</x:f>
        <x:v>4</x:v>
      </x:c>
      <x:c r="F419" t="n">
        <x:f>'Weekly Projections'!AW177</x:f>
        <x:v>6.735840000000001</x:v>
      </x:c>
    </x:row>
    <x:row r="420">
      <x:c r="A420" t="n">
        <x:f>97</x:f>
        <x:v>97</x:v>
      </x:c>
      <x:c r="B420" t="str">
        <x:f>'Weekly Projections'!A178</x:f>
        <x:v>Josh Downs</x:v>
      </x:c>
      <x:c r="C420" t="str">
        <x:f>'Weekly Projections'!B178</x:f>
        <x:v>IND</x:v>
      </x:c>
      <x:c r="D420" t="str">
        <x:f>"FLEX"</x:f>
        <x:v>FLEX</x:v>
      </x:c>
      <x:c r="E420" t="n">
        <x:f>'Weekly Projections'!BA178</x:f>
        <x:v>4</x:v>
      </x:c>
      <x:c r="F420" t="n">
        <x:f>'Weekly Projections'!AW178</x:f>
        <x:v>6.72608695652174</x:v>
      </x:c>
    </x:row>
    <x:row r="421">
      <x:c r="A421" t="n">
        <x:f>98</x:f>
        <x:v>98</x:v>
      </x:c>
      <x:c r="B421" t="str">
        <x:f>'Weekly Projections'!A179</x:f>
        <x:v>Adonai Mitchell</x:v>
      </x:c>
      <x:c r="C421" t="str">
        <x:f>'Weekly Projections'!B179</x:f>
        <x:v>NYJ</x:v>
      </x:c>
      <x:c r="D421" t="str">
        <x:f>"FLEX"</x:f>
        <x:v>FLEX</x:v>
      </x:c>
      <x:c r="E421" t="n">
        <x:f>'Weekly Projections'!BA179</x:f>
        <x:v>4</x:v>
      </x:c>
      <x:c r="F421" t="n">
        <x:f>'Weekly Projections'!AW179</x:f>
        <x:v>6.645453913043477</x:v>
      </x:c>
    </x:row>
    <x:row r="422">
      <x:c r="A422" t="n">
        <x:f>99</x:f>
        <x:v>99</x:v>
      </x:c>
      <x:c r="B422" t="str">
        <x:f>'Weekly Projections'!A180</x:f>
        <x:v>Rashid Shaheed</x:v>
      </x:c>
      <x:c r="C422" t="str">
        <x:f>'Weekly Projections'!B180</x:f>
        <x:v>SEA</x:v>
      </x:c>
      <x:c r="D422" t="str">
        <x:f>"FLEX"</x:f>
        <x:v>FLEX</x:v>
      </x:c>
      <x:c r="E422" t="n">
        <x:f>'Weekly Projections'!BA180</x:f>
        <x:v>4</x:v>
      </x:c>
      <x:c r="F422" t="n">
        <x:f>'Weekly Projections'!AW180</x:f>
        <x:v>6.550260869565219</x:v>
      </x:c>
    </x:row>
    <x:row r="423">
      <x:c r="A423" t="n">
        <x:f>100</x:f>
        <x:v>100</x:v>
      </x:c>
      <x:c r="B423" t="str">
        <x:f>'Weekly Projections'!A260</x:f>
        <x:v>AJ Barner</x:v>
      </x:c>
      <x:c r="C423" t="str">
        <x:f>'Weekly Projections'!B260</x:f>
        <x:v>SEA</x:v>
      </x:c>
      <x:c r="D423" t="str">
        <x:f>"FLEX"</x:f>
        <x:v>FLEX</x:v>
      </x:c>
      <x:c r="E423" t="n">
        <x:f>'Weekly Projections'!BA260</x:f>
        <x:v>4</x:v>
      </x:c>
      <x:c r="F423" t="n">
        <x:f>'Weekly Projections'!AW260</x:f>
        <x:v>6.547496688741724</x:v>
      </x:c>
    </x:row>
    <x:row r="424">
      <x:c r="A424" t="n">
        <x:f>101</x:f>
        <x:v>101</x:v>
      </x:c>
      <x:c r="B424" t="str">
        <x:f>'Weekly Projections'!A76</x:f>
        <x:v>Chris Rodriguez Jr.</x:v>
      </x:c>
      <x:c r="C424" t="str">
        <x:f>'Weekly Projections'!B76</x:f>
        <x:v>JAC</x:v>
      </x:c>
      <x:c r="D424" t="str">
        <x:f>"FLEX"</x:f>
        <x:v>FLEX</x:v>
      </x:c>
      <x:c r="E424" t="n">
        <x:f>'Weekly Projections'!BA76</x:f>
        <x:v>4</x:v>
      </x:c>
      <x:c r="F424" t="n">
        <x:f>'Weekly Projections'!AW76</x:f>
        <x:v>6.5</x:v>
      </x:c>
    </x:row>
    <x:row r="425">
      <x:c r="A425" t="n">
        <x:f>102</x:f>
        <x:v>102</x:v>
      </x:c>
      <x:c r="B425" t="str">
        <x:f>'Weekly Projections'!A77</x:f>
        <x:v>Emmett Johnson</x:v>
      </x:c>
      <x:c r="C425" t="str">
        <x:f>'Weekly Projections'!B77</x:f>
        <x:v>KC</x:v>
      </x:c>
      <x:c r="D425" t="str">
        <x:f>"FLEX"</x:f>
        <x:v>FLEX</x:v>
      </x:c>
      <x:c r="E425" t="n">
        <x:f>'Weekly Projections'!BA77</x:f>
        <x:v>5</x:v>
      </x:c>
      <x:c r="F425" t="n">
        <x:f>'Weekly Projections'!AW77</x:f>
        <x:v>6.486843724696357</x:v>
      </x:c>
    </x:row>
    <x:row r="426">
      <x:c r="A426" t="n">
        <x:f>103</x:f>
        <x:v>103</x:v>
      </x:c>
      <x:c r="B426" t="str">
        <x:f>'Weekly Projections'!A181</x:f>
        <x:v>Jerry Jeudy</x:v>
      </x:c>
      <x:c r="C426" t="str">
        <x:f>'Weekly Projections'!B181</x:f>
        <x:v>CLE</x:v>
      </x:c>
      <x:c r="D426" t="str">
        <x:f>"FLEX"</x:f>
        <x:v>FLEX</x:v>
      </x:c>
      <x:c r="E426" t="n">
        <x:f>'Weekly Projections'!BA181</x:f>
        <x:v>4</x:v>
      </x:c>
      <x:c r="F426" t="n">
        <x:f>'Weekly Projections'!AW181</x:f>
        <x:v>6.343387826086957</x:v>
      </x:c>
    </x:row>
    <x:row r="427">
      <x:c r="A427" t="n">
        <x:f>104</x:f>
        <x:v>104</x:v>
      </x:c>
      <x:c r="B427" t="str">
        <x:f>'Weekly Projections'!A182</x:f>
        <x:v>Chris Godwin Jr.</x:v>
      </x:c>
      <x:c r="C427" t="str">
        <x:f>'Weekly Projections'!B182</x:f>
        <x:v>TB</x:v>
      </x:c>
      <x:c r="D427" t="str">
        <x:f>"FLEX"</x:f>
        <x:v>FLEX</x:v>
      </x:c>
      <x:c r="E427" t="n">
        <x:f>'Weekly Projections'!BA182</x:f>
        <x:v>4</x:v>
      </x:c>
      <x:c r="F427" t="n">
        <x:f>'Weekly Projections'!AW182</x:f>
        <x:v>6.249709565217392</x:v>
      </x:c>
    </x:row>
    <x:row r="428">
      <x:c r="A428" t="n">
        <x:f>105</x:f>
        <x:v>105</x:v>
      </x:c>
      <x:c r="B428" t="str">
        <x:f>'Weekly Projections'!A183</x:f>
        <x:v>Carnell Tate</x:v>
      </x:c>
      <x:c r="C428" t="str">
        <x:f>'Weekly Projections'!B183</x:f>
        <x:v>TEN</x:v>
      </x:c>
      <x:c r="D428" t="str">
        <x:f>"FLEX"</x:f>
        <x:v>FLEX</x:v>
      </x:c>
      <x:c r="E428" t="n">
        <x:f>'Weekly Projections'!BA183</x:f>
        <x:v>5</x:v>
      </x:c>
      <x:c r="F428" t="n">
        <x:f>'Weekly Projections'!AW183</x:f>
        <x:v>6.244779130434782</x:v>
      </x:c>
    </x:row>
    <x:row r="429">
      <x:c r="A429" t="n">
        <x:f>106</x:f>
        <x:v>106</x:v>
      </x:c>
      <x:c r="B429" t="str">
        <x:f>'Weekly Projections'!A78</x:f>
        <x:v>Tyrone Tracy Jr.</x:v>
      </x:c>
      <x:c r="C429" t="str">
        <x:f>'Weekly Projections'!B78</x:f>
        <x:v>NYG</x:v>
      </x:c>
      <x:c r="D429" t="str">
        <x:f>"FLEX"</x:f>
        <x:v>FLEX</x:v>
      </x:c>
      <x:c r="E429" t="n">
        <x:f>'Weekly Projections'!BA78</x:f>
        <x:v>5</x:v>
      </x:c>
      <x:c r="F429" t="n">
        <x:f>'Weekly Projections'!AW78</x:f>
        <x:v>6.1842884210526305</x:v>
      </x:c>
    </x:row>
    <x:row r="430">
      <x:c r="A430" t="n">
        <x:f>107</x:f>
        <x:v>107</x:v>
      </x:c>
      <x:c r="B430" t="str">
        <x:f>'Weekly Projections'!A79</x:f>
        <x:v>Tank Bigsby</x:v>
      </x:c>
      <x:c r="C430" t="str">
        <x:f>'Weekly Projections'!B79</x:f>
        <x:v>PHI</x:v>
      </x:c>
      <x:c r="D430" t="str">
        <x:f>"FLEX"</x:f>
        <x:v>FLEX</x:v>
      </x:c>
      <x:c r="E430" t="n">
        <x:f>'Weekly Projections'!BA79</x:f>
        <x:v>5</x:v>
      </x:c>
      <x:c r="F430" t="n">
        <x:f>'Weekly Projections'!AW79</x:f>
        <x:v>6.1659060728744945</x:v>
      </x:c>
    </x:row>
    <x:row r="431">
      <x:c r="A431" t="n">
        <x:f>108</x:f>
        <x:v>108</x:v>
      </x:c>
      <x:c r="B431" t="str">
        <x:f>'Weekly Projections'!A80</x:f>
        <x:v>Woody Marks</x:v>
      </x:c>
      <x:c r="C431" t="str">
        <x:f>'Weekly Projections'!B80</x:f>
        <x:v>HOU</x:v>
      </x:c>
      <x:c r="D431" t="str">
        <x:f>"FLEX"</x:f>
        <x:v>FLEX</x:v>
      </x:c>
      <x:c r="E431" t="n">
        <x:f>'Weekly Projections'!BA80</x:f>
        <x:v>5</x:v>
      </x:c>
      <x:c r="F431" t="n">
        <x:f>'Weekly Projections'!AW80</x:f>
        <x:v>6.144777327935223</x:v>
      </x:c>
    </x:row>
    <x:row r="432">
      <x:c r="A432" t="n">
        <x:f>109</x:f>
        <x:v>109</x:v>
      </x:c>
      <x:c r="B432" t="str">
        <x:f>'Weekly Projections'!A81</x:f>
        <x:v>Kaelon Black</x:v>
      </x:c>
      <x:c r="C432" t="str">
        <x:f>'Weekly Projections'!B81</x:f>
        <x:v>SF</x:v>
      </x:c>
      <x:c r="D432" t="str">
        <x:f>"FLEX"</x:f>
        <x:v>FLEX</x:v>
      </x:c>
      <x:c r="E432" t="n">
        <x:f>'Weekly Projections'!BA81</x:f>
        <x:v>5</x:v>
      </x:c>
      <x:c r="F432" t="n">
        <x:f>'Weekly Projections'!AW81</x:f>
        <x:v>6.106882591093118</x:v>
      </x:c>
    </x:row>
    <x:row r="433">
      <x:c r="A433" t="n">
        <x:f>110</x:f>
        <x:v>110</x:v>
      </x:c>
      <x:c r="B433" t="str">
        <x:f>'Weekly Projections'!A184</x:f>
        <x:v>Deebo Samuel Sr.</x:v>
      </x:c>
      <x:c r="C433" t="str">
        <x:f>'Weekly Projections'!B184</x:f>
        <x:v>SF</x:v>
      </x:c>
      <x:c r="D433" t="str">
        <x:f>"FLEX"</x:f>
        <x:v>FLEX</x:v>
      </x:c>
      <x:c r="E433" t="n">
        <x:f>'Weekly Projections'!BA184</x:f>
        <x:v>5</x:v>
      </x:c>
      <x:c r="F433" t="n">
        <x:f>'Weekly Projections'!AW184</x:f>
        <x:v>6.09391304347826</x:v>
      </x:c>
    </x:row>
    <x:row r="434">
      <x:c r="A434" t="n">
        <x:f>111</x:f>
        <x:v>111</x:v>
      </x:c>
      <x:c r="B434" t="str">
        <x:f>'Weekly Projections'!A185</x:f>
        <x:v>Khalil Shakir</x:v>
      </x:c>
      <x:c r="C434" t="str">
        <x:f>'Weekly Projections'!B185</x:f>
        <x:v>BUF</x:v>
      </x:c>
      <x:c r="D434" t="str">
        <x:f>"FLEX"</x:f>
        <x:v>FLEX</x:v>
      </x:c>
      <x:c r="E434" t="n">
        <x:f>'Weekly Projections'!BA185</x:f>
        <x:v>5</x:v>
      </x:c>
      <x:c r="F434" t="n">
        <x:f>'Weekly Projections'!AW185</x:f>
        <x:v>6.090156521739131</x:v>
      </x:c>
    </x:row>
    <x:row r="435">
      <x:c r="A435" t="n">
        <x:f>112</x:f>
        <x:v>112</x:v>
      </x:c>
      <x:c r="B435" t="str">
        <x:f>'Weekly Projections'!A261</x:f>
        <x:v>Kyle Pitts Sr.</x:v>
      </x:c>
      <x:c r="C435" t="str">
        <x:f>'Weekly Projections'!B261</x:f>
        <x:v>ATL</x:v>
      </x:c>
      <x:c r="D435" t="str">
        <x:f>"FLEX"</x:f>
        <x:v>FLEX</x:v>
      </x:c>
      <x:c r="E435" t="n">
        <x:f>'Weekly Projections'!BA261</x:f>
        <x:v>4</x:v>
      </x:c>
      <x:c r="F435" t="n">
        <x:f>'Weekly Projections'!AW261</x:f>
        <x:v>6.061740927152319</x:v>
      </x:c>
    </x:row>
    <x:row r="436">
      <x:c r="A436" t="n">
        <x:f>113</x:f>
        <x:v>113</x:v>
      </x:c>
      <x:c r="B436" t="str">
        <x:f>'Weekly Projections'!A187</x:f>
        <x:v>Tre' Harris</x:v>
      </x:c>
      <x:c r="C436" t="str">
        <x:f>'Weekly Projections'!B187</x:f>
        <x:v>LAC</x:v>
      </x:c>
      <x:c r="D436" t="str">
        <x:f>"FLEX"</x:f>
        <x:v>FLEX</x:v>
      </x:c>
      <x:c r="E436" t="n">
        <x:f>'Weekly Projections'!BA187</x:f>
        <x:v>5</x:v>
      </x:c>
      <x:c r="F436" t="n">
        <x:f>'Weekly Projections'!AW187</x:f>
        <x:v>6.052493913043478</x:v>
      </x:c>
    </x:row>
    <x:row r="437">
      <x:c r="A437" t="n">
        <x:f>114</x:f>
        <x:v>114</x:v>
      </x:c>
      <x:c r="B437" t="str">
        <x:f>'Weekly Projections'!A188</x:f>
        <x:v>Devaughn Vele</x:v>
      </x:c>
      <x:c r="C437" t="str">
        <x:f>'Weekly Projections'!B188</x:f>
        <x:v>NO</x:v>
      </x:c>
      <x:c r="D437" t="str">
        <x:f>"FLEX"</x:f>
        <x:v>FLEX</x:v>
      </x:c>
      <x:c r="E437" t="n">
        <x:f>'Weekly Projections'!BA188</x:f>
        <x:v>5</x:v>
      </x:c>
      <x:c r="F437" t="n">
        <x:f>'Weekly Projections'!AW188</x:f>
        <x:v>6.052260869565217</x:v>
      </x:c>
    </x:row>
    <x:row r="438">
      <x:c r="A438" t="n">
        <x:f>115</x:f>
        <x:v>115</x:v>
      </x:c>
      <x:c r="B438" t="str">
        <x:f>'Weekly Projections'!A189</x:f>
        <x:v>Denzel Boston</x:v>
      </x:c>
      <x:c r="C438" t="str">
        <x:f>'Weekly Projections'!B189</x:f>
        <x:v>CLE</x:v>
      </x:c>
      <x:c r="D438" t="str">
        <x:f>"FLEX"</x:f>
        <x:v>FLEX</x:v>
      </x:c>
      <x:c r="E438" t="n">
        <x:f>'Weekly Projections'!BA189</x:f>
        <x:v>5</x:v>
      </x:c>
      <x:c r="F438" t="n">
        <x:f>'Weekly Projections'!AW189</x:f>
        <x:v>6.041321739130433</x:v>
      </x:c>
    </x:row>
    <x:row r="439">
      <x:c r="A439" t="n">
        <x:f>116</x:f>
        <x:v>116</x:v>
      </x:c>
      <x:c r="B439" t="str">
        <x:f>'Weekly Projections'!A82</x:f>
        <x:v>Tyjae Spears</x:v>
      </x:c>
      <x:c r="C439" t="str">
        <x:f>'Weekly Projections'!B82</x:f>
        <x:v>TEN</x:v>
      </x:c>
      <x:c r="D439" t="str">
        <x:f>"FLEX"</x:f>
        <x:v>FLEX</x:v>
      </x:c>
      <x:c r="E439" t="n">
        <x:f>'Weekly Projections'!BA82</x:f>
        <x:v>5</x:v>
      </x:c>
      <x:c r="F439" t="n">
        <x:f>'Weekly Projections'!AW82</x:f>
        <x:v>6.039148178137653</x:v>
      </x:c>
    </x:row>
    <x:row r="440">
      <x:c r="A440" t="n">
        <x:f>117</x:f>
        <x:v>117</x:v>
      </x:c>
      <x:c r="B440" t="str">
        <x:f>'Weekly Projections'!A83</x:f>
        <x:v>Jonah Coleman</x:v>
      </x:c>
      <x:c r="C440" t="str">
        <x:f>'Weekly Projections'!B83</x:f>
        <x:v>DEN</x:v>
      </x:c>
      <x:c r="D440" t="str">
        <x:f>"FLEX"</x:f>
        <x:v>FLEX</x:v>
      </x:c>
      <x:c r="E440" t="n">
        <x:f>'Weekly Projections'!BA83</x:f>
        <x:v>5</x:v>
      </x:c>
      <x:c r="F440" t="n">
        <x:f>'Weekly Projections'!AW83</x:f>
        <x:v>6.03433198380567</x:v>
      </x:c>
    </x:row>
    <x:row r="441">
      <x:c r="A441" t="n">
        <x:f>118</x:f>
        <x:v>118</x:v>
      </x:c>
      <x:c r="B441" t="str">
        <x:f>'Weekly Projections'!A262</x:f>
        <x:v>Cade Otton</x:v>
      </x:c>
      <x:c r="C441" t="str">
        <x:f>'Weekly Projections'!B262</x:f>
        <x:v>TB</x:v>
      </x:c>
      <x:c r="D441" t="str">
        <x:f>"FLEX"</x:f>
        <x:v>FLEX</x:v>
      </x:c>
      <x:c r="E441" t="n">
        <x:f>'Weekly Projections'!BA262</x:f>
        <x:v>4</x:v>
      </x:c>
      <x:c r="F441" t="n">
        <x:f>'Weekly Projections'!AW262</x:f>
        <x:v>5.952985430463577</x:v>
      </x:c>
    </x:row>
    <x:row r="442">
      <x:c r="A442" t="n">
        <x:f>119</x:f>
        <x:v>119</x:v>
      </x:c>
      <x:c r="B442" t="str">
        <x:f>'Weekly Projections'!A191</x:f>
        <x:v>Chris Bell</x:v>
      </x:c>
      <x:c r="C442" t="str">
        <x:f>'Weekly Projections'!B191</x:f>
        <x:v>MIA</x:v>
      </x:c>
      <x:c r="D442" t="str">
        <x:f>"FLEX"</x:f>
        <x:v>FLEX</x:v>
      </x:c>
      <x:c r="E442" t="n">
        <x:f>'Weekly Projections'!BA191</x:f>
        <x:v>5</x:v>
      </x:c>
      <x:c r="F442" t="n">
        <x:f>'Weekly Projections'!AW191</x:f>
        <x:v>5.912960869565218</x:v>
      </x:c>
    </x:row>
    <x:row r="443">
      <x:c r="A443" t="n">
        <x:f>120</x:f>
        <x:v>120</x:v>
      </x:c>
      <x:c r="B443" t="str">
        <x:f>'Weekly Projections'!A85</x:f>
        <x:v>Rachaad White</x:v>
      </x:c>
      <x:c r="C443" t="str">
        <x:f>'Weekly Projections'!B85</x:f>
        <x:v>WAS</x:v>
      </x:c>
      <x:c r="D443" t="str">
        <x:f>"FLEX"</x:f>
        <x:v>FLEX</x:v>
      </x:c>
      <x:c r="E443" t="n">
        <x:f>'Weekly Projections'!BA85</x:f>
        <x:v>5</x:v>
      </x:c>
      <x:c r="F443" t="n">
        <x:f>'Weekly Projections'!AW85</x:f>
        <x:v>5.8843020242914985</x:v>
      </x:c>
    </x:row>
    <x:row r="444">
      <x:c r="A444" t="n">
        <x:f>121</x:f>
        <x:v>121</x:v>
      </x:c>
      <x:c r="B444" t="str">
        <x:f>'Weekly Projections'!A192</x:f>
        <x:v>Rashod Bateman</x:v>
      </x:c>
      <x:c r="C444" t="str">
        <x:f>'Weekly Projections'!B192</x:f>
        <x:v>BAL</x:v>
      </x:c>
      <x:c r="D444" t="str">
        <x:f>"FLEX"</x:f>
        <x:v>FLEX</x:v>
      </x:c>
      <x:c r="E444" t="n">
        <x:f>'Weekly Projections'!BA192</x:f>
        <x:v>5</x:v>
      </x:c>
      <x:c r="F444" t="n">
        <x:f>'Weekly Projections'!AW192</x:f>
        <x:v>5.865983999999999</x:v>
      </x:c>
    </x:row>
    <x:row r="445">
      <x:c r="A445" t="n">
        <x:f>122</x:f>
        <x:v>122</x:v>
      </x:c>
      <x:c r="B445" t="str">
        <x:f>'Weekly Projections'!A99</x:f>
        <x:v>Kaleb Johnson</x:v>
      </x:c>
      <x:c r="C445" t="str">
        <x:f>'Weekly Projections'!B99</x:f>
        <x:v>GB</x:v>
      </x:c>
      <x:c r="D445" t="str">
        <x:f>"FLEX"</x:f>
        <x:v>FLEX</x:v>
      </x:c>
      <x:c r="E445" t="n">
        <x:f>'Weekly Projections'!BA99</x:f>
        <x:v>7</x:v>
      </x:c>
      <x:c r="F445" t="n">
        <x:f>'Weekly Projections'!AW99</x:f>
        <x:v>5.82</x:v>
      </x:c>
    </x:row>
    <x:row r="446">
      <x:c r="A446" t="n">
        <x:f>123</x:f>
        <x:v>123</x:v>
      </x:c>
      <x:c r="B446" t="str">
        <x:f>'Weekly Projections'!A263</x:f>
        <x:v>T.J. Hockenson</x:v>
      </x:c>
      <x:c r="C446" t="str">
        <x:f>'Weekly Projections'!B263</x:f>
        <x:v>MIN</x:v>
      </x:c>
      <x:c r="D446" t="str">
        <x:f>"FLEX"</x:f>
        <x:v>FLEX</x:v>
      </x:c>
      <x:c r="E446" t="n">
        <x:f>'Weekly Projections'!BA263</x:f>
        <x:v>4</x:v>
      </x:c>
      <x:c r="F446" t="n">
        <x:f>'Weekly Projections'!AW263</x:f>
        <x:v>5.799554437086093</x:v>
      </x:c>
    </x:row>
    <x:row r="447">
      <x:c r="A447" t="n">
        <x:f>124</x:f>
        <x:v>124</x:v>
      </x:c>
      <x:c r="B447" t="str">
        <x:f>'Weekly Projections'!A264</x:f>
        <x:v>Pat Freiermuth</x:v>
      </x:c>
      <x:c r="C447" t="str">
        <x:f>'Weekly Projections'!B264</x:f>
        <x:v>PIT</x:v>
      </x:c>
      <x:c r="D447" t="str">
        <x:f>"FLEX"</x:f>
        <x:v>FLEX</x:v>
      </x:c>
      <x:c r="E447" t="n">
        <x:f>'Weekly Projections'!BA264</x:f>
        <x:v>4</x:v>
      </x:c>
      <x:c r="F447" t="n">
        <x:f>'Weekly Projections'!AW264</x:f>
        <x:v>5.755443708609272</x:v>
      </x:c>
    </x:row>
    <x:row r="448">
      <x:c r="A448" t="n">
        <x:f>125</x:f>
        <x:v>125</x:v>
      </x:c>
      <x:c r="B448" t="str">
        <x:f>'Weekly Projections'!A193</x:f>
        <x:v>Calvin Ridley</x:v>
      </x:c>
      <x:c r="C448" t="str">
        <x:f>'Weekly Projections'!B193</x:f>
        <x:v>TEN</x:v>
      </x:c>
      <x:c r="D448" t="str">
        <x:f>"FLEX"</x:f>
        <x:v>FLEX</x:v>
      </x:c>
      <x:c r="E448" t="n">
        <x:f>'Weekly Projections'!BA193</x:f>
        <x:v>5</x:v>
      </x:c>
      <x:c r="F448" t="n">
        <x:f>'Weekly Projections'!AW193</x:f>
        <x:v>5.749161739130434</x:v>
      </x:c>
    </x:row>
    <x:row r="449">
      <x:c r="A449" t="n">
        <x:f>126</x:f>
        <x:v>126</x:v>
      </x:c>
      <x:c r="B449" t="str">
        <x:f>'Weekly Projections'!A265</x:f>
        <x:v>Kenyon Sadiq</x:v>
      </x:c>
      <x:c r="C449" t="str">
        <x:f>'Weekly Projections'!B265</x:f>
        <x:v>NYJ</x:v>
      </x:c>
      <x:c r="D449" t="str">
        <x:f>"FLEX"</x:f>
        <x:v>FLEX</x:v>
      </x:c>
      <x:c r="E449" t="n">
        <x:f>'Weekly Projections'!BA265</x:f>
        <x:v>4</x:v>
      </x:c>
      <x:c r="F449" t="n">
        <x:f>'Weekly Projections'!AW265</x:f>
        <x:v>5.738533509933775</x:v>
      </x:c>
    </x:row>
    <x:row r="450">
      <x:c r="A450" t="n">
        <x:f>127</x:f>
        <x:v>127</x:v>
      </x:c>
      <x:c r="B450" t="str">
        <x:f>'Weekly Projections'!A194</x:f>
        <x:v>Pat Bryant</x:v>
      </x:c>
      <x:c r="C450" t="str">
        <x:f>'Weekly Projections'!B194</x:f>
        <x:v>DEN</x:v>
      </x:c>
      <x:c r="D450" t="str">
        <x:f>"FLEX"</x:f>
        <x:v>FLEX</x:v>
      </x:c>
      <x:c r="E450" t="n">
        <x:f>'Weekly Projections'!BA194</x:f>
        <x:v>5</x:v>
      </x:c>
      <x:c r="F450" t="n">
        <x:f>'Weekly Projections'!AW194</x:f>
        <x:v>5.709217391304348</x:v>
      </x:c>
    </x:row>
    <x:row r="451">
      <x:c r="A451" t="n">
        <x:f>128</x:f>
        <x:v>128</x:v>
      </x:c>
      <x:c r="B451" t="str">
        <x:f>'Weekly Projections'!A86</x:f>
        <x:v>Blake Corum</x:v>
      </x:c>
      <x:c r="C451" t="str">
        <x:f>'Weekly Projections'!B86</x:f>
        <x:v>LAR</x:v>
      </x:c>
      <x:c r="D451" t="str">
        <x:f>"FLEX"</x:f>
        <x:v>FLEX</x:v>
      </x:c>
      <x:c r="E451" t="n">
        <x:f>'Weekly Projections'!BA86</x:f>
        <x:v>5</x:v>
      </x:c>
      <x:c r="F451" t="n">
        <x:f>'Weekly Projections'!AW86</x:f>
        <x:v>5.67876194331984</x:v>
      </x:c>
    </x:row>
    <x:row r="452">
      <x:c r="A452" t="n">
        <x:f>129</x:f>
        <x:v>129</x:v>
      </x:c>
      <x:c r="B452" t="str">
        <x:f>'Weekly Projections'!A195</x:f>
        <x:v>Keenan Allen</x:v>
      </x:c>
      <x:c r="C452" t="str">
        <x:f>'Weekly Projections'!B195</x:f>
        <x:v>IND</x:v>
      </x:c>
      <x:c r="D452" t="str">
        <x:f>"FLEX"</x:f>
        <x:v>FLEX</x:v>
      </x:c>
      <x:c r="E452" t="n">
        <x:f>'Weekly Projections'!BA195</x:f>
        <x:v>6</x:v>
      </x:c>
      <x:c r="F452" t="n">
        <x:f>'Weekly Projections'!AW195</x:f>
        <x:v>5.669130434782611</x:v>
      </x:c>
    </x:row>
    <x:row r="453">
      <x:c r="A453" t="n">
        <x:f>130</x:f>
        <x:v>130</x:v>
      </x:c>
      <x:c r="B453" t="str">
        <x:f>'Weekly Projections'!A196</x:f>
        <x:v>KC Concepcion</x:v>
      </x:c>
      <x:c r="C453" t="str">
        <x:f>'Weekly Projections'!B196</x:f>
        <x:v>CLE</x:v>
      </x:c>
      <x:c r="D453" t="str">
        <x:f>"FLEX"</x:f>
        <x:v>FLEX</x:v>
      </x:c>
      <x:c r="E453" t="n">
        <x:f>'Weekly Projections'!BA196</x:f>
        <x:v>6</x:v>
      </x:c>
      <x:c r="F453" t="n">
        <x:f>'Weekly Projections'!AW196</x:f>
        <x:v>5.638566956521739</x:v>
      </x:c>
    </x:row>
    <x:row r="454">
      <x:c r="A454" t="n">
        <x:f>131</x:f>
        <x:v>131</x:v>
      </x:c>
      <x:c r="B454" t="str">
        <x:f>'Weekly Projections'!A198</x:f>
        <x:v>Jauan Jennings</x:v>
      </x:c>
      <x:c r="C454" t="str">
        <x:f>'Weekly Projections'!B198</x:f>
        <x:v>MIN</x:v>
      </x:c>
      <x:c r="D454" t="str">
        <x:f>"FLEX"</x:f>
        <x:v>FLEX</x:v>
      </x:c>
      <x:c r="E454" t="n">
        <x:f>'Weekly Projections'!BA198</x:f>
        <x:v>6</x:v>
      </x:c>
      <x:c r="F454" t="n">
        <x:f>'Weekly Projections'!AW198</x:f>
        <x:v>5.599561739130435</x:v>
      </x:c>
    </x:row>
    <x:row r="455">
      <x:c r="A455" t="n">
        <x:f>132</x:f>
        <x:v>132</x:v>
      </x:c>
      <x:c r="B455" t="str">
        <x:f>'Weekly Projections'!A199</x:f>
        <x:v>Jalen Nailor</x:v>
      </x:c>
      <x:c r="C455" t="str">
        <x:f>'Weekly Projections'!B199</x:f>
        <x:v>LV</x:v>
      </x:c>
      <x:c r="D455" t="str">
        <x:f>"FLEX"</x:f>
        <x:v>FLEX</x:v>
      </x:c>
      <x:c r="E455" t="n">
        <x:f>'Weekly Projections'!BA199</x:f>
        <x:v>6</x:v>
      </x:c>
      <x:c r="F455" t="n">
        <x:f>'Weekly Projections'!AW199</x:f>
        <x:v>5.59824695652174</x:v>
      </x:c>
    </x:row>
    <x:row r="456">
      <x:c r="A456" t="n">
        <x:f>133</x:f>
        <x:v>133</x:v>
      </x:c>
      <x:c r="B456" t="str">
        <x:f>'Weekly Projections'!A87</x:f>
        <x:v>Tyler Allgeier</x:v>
      </x:c>
      <x:c r="C456" t="str">
        <x:f>'Weekly Projections'!B87</x:f>
        <x:v>ARI</x:v>
      </x:c>
      <x:c r="D456" t="str">
        <x:f>"FLEX"</x:f>
        <x:v>FLEX</x:v>
      </x:c>
      <x:c r="E456" t="n">
        <x:f>'Weekly Projections'!BA87</x:f>
        <x:v>6</x:v>
      </x:c>
      <x:c r="F456" t="n">
        <x:f>'Weekly Projections'!AW87</x:f>
        <x:v>5.5846963562753045</x:v>
      </x:c>
    </x:row>
    <x:row r="457">
      <x:c r="A457" t="n">
        <x:f>134</x:f>
        <x:v>134</x:v>
      </x:c>
      <x:c r="B457" t="str">
        <x:f>'Weekly Projections'!A88</x:f>
        <x:v>Nicholas Singleton</x:v>
      </x:c>
      <x:c r="C457" t="str">
        <x:f>'Weekly Projections'!B88</x:f>
        <x:v>TEN</x:v>
      </x:c>
      <x:c r="D457" t="str">
        <x:f>"FLEX"</x:f>
        <x:v>FLEX</x:v>
      </x:c>
      <x:c r="E457" t="n">
        <x:f>'Weekly Projections'!BA88</x:f>
        <x:v>6</x:v>
      </x:c>
      <x:c r="F457" t="n">
        <x:f>'Weekly Projections'!AW88</x:f>
        <x:v>5.445133603238866</x:v>
      </x:c>
    </x:row>
    <x:row r="458">
      <x:c r="A458" t="n">
        <x:f>135</x:f>
        <x:v>135</x:v>
      </x:c>
      <x:c r="B458" t="str">
        <x:f>'Weekly Projections'!A200</x:f>
        <x:v>Cyrus Allen</x:v>
      </x:c>
      <x:c r="C458" t="str">
        <x:f>'Weekly Projections'!B200</x:f>
        <x:v>KC</x:v>
      </x:c>
      <x:c r="D458" t="str">
        <x:f>"FLEX"</x:f>
        <x:v>FLEX</x:v>
      </x:c>
      <x:c r="E458" t="n">
        <x:f>'Weekly Projections'!BA200</x:f>
        <x:v>6</x:v>
      </x:c>
      <x:c r="F458" t="n">
        <x:f>'Weekly Projections'!AW200</x:f>
        <x:v>5.343070434782609</x:v>
      </x:c>
    </x:row>
    <x:row r="459">
      <x:c r="A459" t="n">
        <x:f>136</x:f>
        <x:v>136</x:v>
      </x:c>
      <x:c r="B459" t="str">
        <x:f>'Weekly Projections'!A201</x:f>
        <x:v>Makai Lemon</x:v>
      </x:c>
      <x:c r="C459" t="str">
        <x:f>'Weekly Projections'!B201</x:f>
        <x:v>PHI</x:v>
      </x:c>
      <x:c r="D459" t="str">
        <x:f>"FLEX"</x:f>
        <x:v>FLEX</x:v>
      </x:c>
      <x:c r="E459" t="n">
        <x:f>'Weekly Projections'!BA201</x:f>
        <x:v>6</x:v>
      </x:c>
      <x:c r="F459" t="n">
        <x:f>'Weekly Projections'!AW201</x:f>
        <x:v>5.301959999999999</x:v>
      </x:c>
    </x:row>
    <x:row r="460">
      <x:c r="A460" t="n">
        <x:f>137</x:f>
        <x:v>137</x:v>
      </x:c>
      <x:c r="B460" t="str">
        <x:f>'Weekly Projections'!A89</x:f>
        <x:v>Ray Davis</x:v>
      </x:c>
      <x:c r="C460" t="str">
        <x:f>'Weekly Projections'!B89</x:f>
        <x:v>BUF</x:v>
      </x:c>
      <x:c r="D460" t="str">
        <x:f>"FLEX"</x:f>
        <x:v>FLEX</x:v>
      </x:c>
      <x:c r="E460" t="n">
        <x:f>'Weekly Projections'!BA89</x:f>
        <x:v>6</x:v>
      </x:c>
      <x:c r="F460" t="n">
        <x:f>'Weekly Projections'!AW89</x:f>
        <x:v>5.2817004048583</x:v>
      </x:c>
    </x:row>
    <x:row r="461">
      <x:c r="A461" t="n">
        <x:f>138</x:f>
        <x:v>138</x:v>
      </x:c>
      <x:c r="B461" t="str">
        <x:f>'Weekly Projections'!A202</x:f>
        <x:v>Jalen Coker</x:v>
      </x:c>
      <x:c r="C461" t="str">
        <x:f>'Weekly Projections'!B202</x:f>
        <x:v>CAR</x:v>
      </x:c>
      <x:c r="D461" t="str">
        <x:f>"FLEX"</x:f>
        <x:v>FLEX</x:v>
      </x:c>
      <x:c r="E461" t="n">
        <x:f>'Weekly Projections'!BA202</x:f>
        <x:v>6</x:v>
      </x:c>
      <x:c r="F461" t="n">
        <x:f>'Weekly Projections'!AW202</x:f>
        <x:v>5.203</x:v>
      </x:c>
    </x:row>
    <x:row r="462">
      <x:c r="A462" t="n">
        <x:f>139</x:f>
        <x:v>139</x:v>
      </x:c>
      <x:c r="B462" t="str">
        <x:f>'Weekly Projections'!A266</x:f>
        <x:v>Michael Mayer</x:v>
      </x:c>
      <x:c r="C462" t="str">
        <x:f>'Weekly Projections'!B266</x:f>
        <x:v>LV</x:v>
      </x:c>
      <x:c r="D462" t="str">
        <x:f>"FLEX"</x:f>
        <x:v>FLEX</x:v>
      </x:c>
      <x:c r="E462" t="n">
        <x:f>'Weekly Projections'!BA266</x:f>
        <x:v>5</x:v>
      </x:c>
      <x:c r="F462" t="n">
        <x:f>'Weekly Projections'!AW266</x:f>
        <x:v>5.1984021192053</x:v>
      </x:c>
    </x:row>
    <x:row r="463">
      <x:c r="A463" t="n">
        <x:f>140</x:f>
        <x:v>140</x:v>
      </x:c>
      <x:c r="B463" t="str">
        <x:f>'Weekly Projections'!A267</x:f>
        <x:v>Gunnar Helm</x:v>
      </x:c>
      <x:c r="C463" t="str">
        <x:f>'Weekly Projections'!B267</x:f>
        <x:v>TEN</x:v>
      </x:c>
      <x:c r="D463" t="str">
        <x:f>"FLEX"</x:f>
        <x:v>FLEX</x:v>
      </x:c>
      <x:c r="E463" t="n">
        <x:f>'Weekly Projections'!BA267</x:f>
        <x:v>5</x:v>
      </x:c>
      <x:c r="F463" t="n">
        <x:f>'Weekly Projections'!AW267</x:f>
        <x:v>5.155259337748346</x:v>
      </x:c>
    </x:row>
    <x:row r="464">
      <x:c r="A464" t="n">
        <x:f>141</x:f>
        <x:v>141</x:v>
      </x:c>
      <x:c r="B464" t="str">
        <x:f>'Weekly Projections'!A268</x:f>
        <x:v>Evan Engram</x:v>
      </x:c>
      <x:c r="C464" t="str">
        <x:f>'Weekly Projections'!B268</x:f>
        <x:v>DEN</x:v>
      </x:c>
      <x:c r="D464" t="str">
        <x:f>"FLEX"</x:f>
        <x:v>FLEX</x:v>
      </x:c>
      <x:c r="E464" t="n">
        <x:f>'Weekly Projections'!BA268</x:f>
        <x:v>5</x:v>
      </x:c>
      <x:c r="F464" t="n">
        <x:f>'Weekly Projections'!AW268</x:f>
        <x:v>5.120105960264901</x:v>
      </x:c>
    </x:row>
    <x:row r="465">
      <x:c r="A465" t="n">
        <x:f>142</x:f>
        <x:v>142</x:v>
      </x:c>
      <x:c r="B465" t="str">
        <x:f>'Weekly Projections'!A269</x:f>
        <x:v>Zach Ertz</x:v>
      </x:c>
      <x:c r="C465" t="str">
        <x:f>'Weekly Projections'!B269</x:f>
        <x:v>PHI</x:v>
      </x:c>
      <x:c r="D465" t="str">
        <x:f>"FLEX"</x:f>
        <x:v>FLEX</x:v>
      </x:c>
      <x:c r="E465" t="n">
        <x:f>'Weekly Projections'!BA269</x:f>
        <x:v>5</x:v>
      </x:c>
      <x:c r="F465" t="n">
        <x:f>'Weekly Projections'!AW269</x:f>
        <x:v>5.115017599999999</x:v>
      </x:c>
    </x:row>
    <x:row r="466">
      <x:c r="A466" t="n">
        <x:f>143</x:f>
        <x:v>143</x:v>
      </x:c>
      <x:c r="B466" t="str">
        <x:f>'Weekly Projections'!A71</x:f>
        <x:v>MarShawn Lloyd</x:v>
      </x:c>
      <x:c r="C466" t="str">
        <x:f>'Weekly Projections'!B71</x:f>
        <x:v>GB</x:v>
      </x:c>
      <x:c r="D466" t="str">
        <x:f>"FLEX"</x:f>
        <x:v>FLEX</x:v>
      </x:c>
      <x:c r="E466" t="n">
        <x:f>'Weekly Projections'!BA71</x:f>
        <x:v>4</x:v>
      </x:c>
      <x:c r="F466" t="n">
        <x:f>'Weekly Projections'!AW71</x:f>
        <x:v>5.1</x:v>
      </x:c>
    </x:row>
    <x:row r="467">
      <x:c r="A467" t="n">
        <x:f>144</x:f>
        <x:v>144</x:v>
      </x:c>
      <x:c r="B467" t="str">
        <x:f>'Weekly Projections'!A197</x:f>
        <x:v>Malachi Fields</x:v>
      </x:c>
      <x:c r="C467" t="str">
        <x:f>'Weekly Projections'!B197</x:f>
        <x:v>NYG</x:v>
      </x:c>
      <x:c r="D467" t="str">
        <x:f>"FLEX"</x:f>
        <x:v>FLEX</x:v>
      </x:c>
      <x:c r="E467" t="n">
        <x:f>'Weekly Projections'!BA197</x:f>
        <x:v>6</x:v>
      </x:c>
      <x:c r="F467" t="n">
        <x:f>'Weekly Projections'!AW197</x:f>
        <x:v>5.062611130434783</x:v>
      </x:c>
    </x:row>
    <x:row r="468">
      <x:c r="A468" t="n">
        <x:f>145</x:f>
        <x:v>145</x:v>
      </x:c>
      <x:c r="B468" t="str">
        <x:f>'Weekly Projections'!A90</x:f>
        <x:v>Brian Robinson Jr.</x:v>
      </x:c>
      <x:c r="C468" t="str">
        <x:f>'Weekly Projections'!B90</x:f>
        <x:v>ATL</x:v>
      </x:c>
      <x:c r="D468" t="str">
        <x:f>"FLEX"</x:f>
        <x:v>FLEX</x:v>
      </x:c>
      <x:c r="E468" t="n">
        <x:f>'Weekly Projections'!BA90</x:f>
        <x:v>6</x:v>
      </x:c>
      <x:c r="F468" t="n">
        <x:f>'Weekly Projections'!AW90</x:f>
        <x:v>4.926273684210526</x:v>
      </x:c>
    </x:row>
    <x:row r="469">
      <x:c r="A469" t="n">
        <x:f>146</x:f>
        <x:v>146</x:v>
      </x:c>
      <x:c r="B469" t="str">
        <x:f>'Weekly Projections'!A91</x:f>
        <x:v>Kaytron Allen</x:v>
      </x:c>
      <x:c r="C469" t="str">
        <x:f>'Weekly Projections'!B91</x:f>
        <x:v>WAS</x:v>
      </x:c>
      <x:c r="D469" t="str">
        <x:f>"FLEX"</x:f>
        <x:v>FLEX</x:v>
      </x:c>
      <x:c r="E469" t="n">
        <x:f>'Weekly Projections'!BA91</x:f>
        <x:v>6</x:v>
      </x:c>
      <x:c r="F469" t="n">
        <x:f>'Weekly Projections'!AW91</x:f>
        <x:v>4.919662348178137</x:v>
      </x:c>
    </x:row>
    <x:row r="470">
      <x:c r="A470" t="n">
        <x:f>147</x:f>
        <x:v>147</x:v>
      </x:c>
      <x:c r="B470" t="str">
        <x:f>'Weekly Projections'!A92</x:f>
        <x:v>Alvin Kamara</x:v>
      </x:c>
      <x:c r="C470" t="str">
        <x:f>'Weekly Projections'!B92</x:f>
        <x:v>NO</x:v>
      </x:c>
      <x:c r="D470" t="str">
        <x:f>"FLEX"</x:f>
        <x:v>FLEX</x:v>
      </x:c>
      <x:c r="E470" t="n">
        <x:f>'Weekly Projections'!BA92</x:f>
        <x:v>6</x:v>
      </x:c>
      <x:c r="F470" t="n">
        <x:f>'Weekly Projections'!AW92</x:f>
        <x:v>4.856356275303644</x:v>
      </x:c>
    </x:row>
    <x:row r="471">
      <x:c r="A471" t="n">
        <x:f>148</x:f>
        <x:v>148</x:v>
      </x:c>
      <x:c r="B471" t="str">
        <x:f>'Weekly Projections'!A270</x:f>
        <x:v>Chig Okonkwo</x:v>
      </x:c>
      <x:c r="C471" t="str">
        <x:f>'Weekly Projections'!B270</x:f>
        <x:v>WAS</x:v>
      </x:c>
      <x:c r="D471" t="str">
        <x:f>"FLEX"</x:f>
        <x:v>FLEX</x:v>
      </x:c>
      <x:c r="E471" t="n">
        <x:f>'Weekly Projections'!BA270</x:f>
        <x:v>5</x:v>
      </x:c>
      <x:c r="F471" t="n">
        <x:f>'Weekly Projections'!AW270</x:f>
        <x:v>4.848733668874173</x:v>
      </x:c>
    </x:row>
    <x:row r="472">
      <x:c r="A472" t="n">
        <x:f>149</x:f>
        <x:v>149</x:v>
      </x:c>
      <x:c r="B472" t="str">
        <x:f>'Weekly Projections'!A93</x:f>
        <x:v>George Holani</x:v>
      </x:c>
      <x:c r="C472" t="str">
        <x:f>'Weekly Projections'!B93</x:f>
        <x:v>SEA</x:v>
      </x:c>
      <x:c r="D472" t="str">
        <x:f>"FLEX"</x:f>
        <x:v>FLEX</x:v>
      </x:c>
      <x:c r="E472" t="n">
        <x:f>'Weekly Projections'!BA93</x:f>
        <x:v>6</x:v>
      </x:c>
      <x:c r="F472" t="n">
        <x:f>'Weekly Projections'!AW93</x:f>
        <x:v>4.8</x:v>
      </x:c>
    </x:row>
    <x:row r="473">
      <x:c r="A473" t="n">
        <x:f>150</x:f>
        <x:v>150</x:v>
      </x:c>
      <x:c r="B473" t="str">
        <x:f>'Weekly Projections'!A271</x:f>
        <x:v>Charlie Kolar</x:v>
      </x:c>
      <x:c r="C473" t="str">
        <x:f>'Weekly Projections'!B271</x:f>
        <x:v>LAC</x:v>
      </x:c>
      <x:c r="D473" t="str">
        <x:f>"FLEX"</x:f>
        <x:v>FLEX</x:v>
      </x:c>
      <x:c r="E473" t="n">
        <x:f>'Weekly Projections'!BA271</x:f>
        <x:v>5</x:v>
      </x:c>
      <x:c r="F473" t="n">
        <x:f>'Weekly Projections'!AW271</x:f>
        <x:v>4.785567152317882</x:v>
      </x:c>
    </x:row>
    <x:row r="474">
      <x:c r="A474" t="n">
        <x:f>151</x:f>
        <x:v>151</x:v>
      </x:c>
      <x:c r="B474" t="str">
        <x:f>'Weekly Projections'!A272</x:f>
        <x:v>David Njoku</x:v>
      </x:c>
      <x:c r="C474" t="str">
        <x:f>'Weekly Projections'!B272</x:f>
        <x:v>LAC</x:v>
      </x:c>
      <x:c r="D474" t="str">
        <x:f>"FLEX"</x:f>
        <x:v>FLEX</x:v>
      </x:c>
      <x:c r="E474" t="n">
        <x:f>'Weekly Projections'!BA272</x:f>
        <x:v>6</x:v>
      </x:c>
      <x:c r="F474" t="n">
        <x:f>'Weekly Projections'!AW272</x:f>
        <x:v>4.785567152317882</x:v>
      </x:c>
    </x:row>
    <x:row r="475">
      <x:c r="A475" t="n">
        <x:f>152</x:f>
        <x:v>152</x:v>
      </x:c>
      <x:c r="B475" t="str">
        <x:f>'Weekly Projections'!A203</x:f>
        <x:v>Nico Collins</x:v>
      </x:c>
      <x:c r="C475" t="str">
        <x:f>'Weekly Projections'!B203</x:f>
        <x:v>HOU</x:v>
      </x:c>
      <x:c r="D475" t="str">
        <x:f>"FLEX"</x:f>
        <x:v>FLEX</x:v>
      </x:c>
      <x:c r="E475" t="n">
        <x:f>'Weekly Projections'!BA203</x:f>
        <x:v>6</x:v>
      </x:c>
      <x:c r="F475" t="n">
        <x:f>'Weekly Projections'!AW203</x:f>
        <x:v>4.70828736</x:v>
      </x:c>
    </x:row>
    <x:row r="476">
      <x:c r="A476" t="n">
        <x:f>153</x:f>
        <x:v>153</x:v>
      </x:c>
      <x:c r="B476" t="str">
        <x:f>'Weekly Projections'!A204</x:f>
        <x:v>Mack Hollins</x:v>
      </x:c>
      <x:c r="C476" t="str">
        <x:f>'Weekly Projections'!B204</x:f>
        <x:v>NE</x:v>
      </x:c>
      <x:c r="D476" t="str">
        <x:f>"FLEX"</x:f>
        <x:v>FLEX</x:v>
      </x:c>
      <x:c r="E476" t="n">
        <x:f>'Weekly Projections'!BA204</x:f>
        <x:v>6</x:v>
      </x:c>
      <x:c r="F476" t="n">
        <x:f>'Weekly Projections'!AW204</x:f>
        <x:v>4.698528695652175</x:v>
      </x:c>
    </x:row>
    <x:row r="477">
      <x:c r="A477" t="n">
        <x:f>154</x:f>
        <x:v>154</x:v>
      </x:c>
      <x:c r="B477" t="str">
        <x:f>'Weekly Projections'!A205</x:f>
        <x:v>Romeo Doubs</x:v>
      </x:c>
      <x:c r="C477" t="str">
        <x:f>'Weekly Projections'!B205</x:f>
        <x:v>NE</x:v>
      </x:c>
      <x:c r="D477" t="str">
        <x:f>"FLEX"</x:f>
        <x:v>FLEX</x:v>
      </x:c>
      <x:c r="E477" t="n">
        <x:f>'Weekly Projections'!BA205</x:f>
        <x:v>6</x:v>
      </x:c>
      <x:c r="F477" t="n">
        <x:f>'Weekly Projections'!AW205</x:f>
        <x:v>4.698528695652175</x:v>
      </x:c>
    </x:row>
    <x:row r="478">
      <x:c r="A478" t="n">
        <x:f>155</x:f>
        <x:v>155</x:v>
      </x:c>
      <x:c r="B478" t="str">
        <x:f>'Weekly Projections'!A273</x:f>
        <x:v>Oronde Gadsden II</x:v>
      </x:c>
      <x:c r="C478" t="str">
        <x:f>'Weekly Projections'!B273</x:f>
        <x:v>LAC</x:v>
      </x:c>
      <x:c r="D478" t="str">
        <x:f>"FLEX"</x:f>
        <x:v>FLEX</x:v>
      </x:c>
      <x:c r="E478" t="n">
        <x:f>'Weekly Projections'!BA273</x:f>
        <x:v>6</x:v>
      </x:c>
      <x:c r="F478" t="n">
        <x:f>'Weekly Projections'!AW273</x:f>
        <x:v>4.687902516556292</x:v>
      </x:c>
    </x:row>
    <x:row r="479">
      <x:c r="A479" t="n">
        <x:f>156</x:f>
        <x:v>156</x:v>
      </x:c>
      <x:c r="B479" t="str">
        <x:f>'Weekly Projections'!A94</x:f>
        <x:v>Braelon Allen</x:v>
      </x:c>
      <x:c r="C479" t="str">
        <x:f>'Weekly Projections'!B94</x:f>
        <x:v>NYJ</x:v>
      </x:c>
      <x:c r="D479" t="str">
        <x:f>"FLEX"</x:f>
        <x:v>FLEX</x:v>
      </x:c>
      <x:c r="E479" t="n">
        <x:f>'Weekly Projections'!BA94</x:f>
        <x:v>6</x:v>
      </x:c>
      <x:c r="F479" t="n">
        <x:f>'Weekly Projections'!AW94</x:f>
        <x:v>4.671740890688259</x:v>
      </x:c>
    </x:row>
    <x:row r="480">
      <x:c r="A480" t="n">
        <x:f>157</x:f>
        <x:v>157</x:v>
      </x:c>
      <x:c r="B480" t="str">
        <x:f>'Weekly Projections'!A206</x:f>
        <x:v>Jalen McMillan</x:v>
      </x:c>
      <x:c r="C480" t="str">
        <x:f>'Weekly Projections'!B206</x:f>
        <x:v>TB</x:v>
      </x:c>
      <x:c r="D480" t="str">
        <x:f>"FLEX"</x:f>
        <x:v>FLEX</x:v>
      </x:c>
      <x:c r="E480" t="n">
        <x:f>'Weekly Projections'!BA206</x:f>
        <x:v>6</x:v>
      </x:c>
      <x:c r="F480" t="n">
        <x:f>'Weekly Projections'!AW206</x:f>
        <x:v>4.662481739130435</x:v>
      </x:c>
    </x:row>
    <x:row r="481">
      <x:c r="A481" t="n">
        <x:f>158</x:f>
        <x:v>158</x:v>
      </x:c>
      <x:c r="B481" t="str">
        <x:f>'Weekly Projections'!A95</x:f>
        <x:v>Keaton Mitchell</x:v>
      </x:c>
      <x:c r="C481" t="str">
        <x:f>'Weekly Projections'!B95</x:f>
        <x:v>LAC</x:v>
      </x:c>
      <x:c r="D481" t="str">
        <x:f>"FLEX"</x:f>
        <x:v>FLEX</x:v>
      </x:c>
      <x:c r="E481" t="n">
        <x:f>'Weekly Projections'!BA95</x:f>
        <x:v>6</x:v>
      </x:c>
      <x:c r="F481" t="n">
        <x:f>'Weekly Projections'!AW95</x:f>
        <x:v>4.572738461538463</x:v>
      </x:c>
    </x:row>
    <x:row r="482">
      <x:c r="A482" t="n">
        <x:f>159</x:f>
        <x:v>159</x:v>
      </x:c>
      <x:c r="B482" t="str">
        <x:f>'Weekly Projections'!A207</x:f>
        <x:v>Zachariah Branch</x:v>
      </x:c>
      <x:c r="C482" t="str">
        <x:f>'Weekly Projections'!B207</x:f>
        <x:v>ATL</x:v>
      </x:c>
      <x:c r="D482" t="str">
        <x:f>"FLEX"</x:f>
        <x:v>FLEX</x:v>
      </x:c>
      <x:c r="E482" t="n">
        <x:f>'Weekly Projections'!BA207</x:f>
        <x:v>7</x:v>
      </x:c>
      <x:c r="F482" t="n">
        <x:f>'Weekly Projections'!AW207</x:f>
        <x:v>4.541551304347825</x:v>
      </x:c>
    </x:row>
    <x:row r="483">
      <x:c r="A483" t="n">
        <x:f>160</x:f>
        <x:v>160</x:v>
      </x:c>
      <x:c r="B483" t="str">
        <x:f>'Weekly Projections'!A96</x:f>
        <x:v>Jaylen Wright</x:v>
      </x:c>
      <x:c r="C483" t="str">
        <x:f>'Weekly Projections'!B96</x:f>
        <x:v>MIA</x:v>
      </x:c>
      <x:c r="D483" t="str">
        <x:f>"FLEX"</x:f>
        <x:v>FLEX</x:v>
      </x:c>
      <x:c r="E483" t="n">
        <x:f>'Weekly Projections'!BA96</x:f>
        <x:v>6</x:v>
      </x:c>
      <x:c r="F483" t="n">
        <x:f>'Weekly Projections'!AW96</x:f>
        <x:v>4.50585910931174</x:v>
      </x:c>
    </x:row>
    <x:row r="484">
      <x:c r="A484" t="n">
        <x:f>161</x:f>
        <x:v>161</x:v>
      </x:c>
      <x:c r="B484" t="str">
        <x:f>'Weekly Projections'!A274</x:f>
        <x:v>Mike Gesicki</x:v>
      </x:c>
      <x:c r="C484" t="str">
        <x:f>'Weekly Projections'!B274</x:f>
        <x:v>CIN</x:v>
      </x:c>
      <x:c r="D484" t="str">
        <x:f>"FLEX"</x:f>
        <x:v>FLEX</x:v>
      </x:c>
      <x:c r="E484" t="n">
        <x:f>'Weekly Projections'!BA274</x:f>
        <x:v>6</x:v>
      </x:c>
      <x:c r="F484" t="n">
        <x:f>'Weekly Projections'!AW274</x:f>
        <x:v>4.429823841059603</x:v>
      </x:c>
    </x:row>
    <x:row r="485">
      <x:c r="A485" t="n">
        <x:f>162</x:f>
        <x:v>162</x:v>
      </x:c>
      <x:c r="B485" t="str">
        <x:f>'Weekly Projections'!A275</x:f>
        <x:v>Greg Dulcich</x:v>
      </x:c>
      <x:c r="C485" t="str">
        <x:f>'Weekly Projections'!B275</x:f>
        <x:v>MIA</x:v>
      </x:c>
      <x:c r="D485" t="str">
        <x:f>"FLEX"</x:f>
        <x:v>FLEX</x:v>
      </x:c>
      <x:c r="E485" t="n">
        <x:f>'Weekly Projections'!BA275</x:f>
        <x:v>6</x:v>
      </x:c>
      <x:c r="F485" t="n">
        <x:f>'Weekly Projections'!AW275</x:f>
        <x:v>4.416568211920531</x:v>
      </x:c>
    </x:row>
    <x:row r="486">
      <x:c r="A486" t="n">
        <x:f>163</x:f>
        <x:v>163</x:v>
      </x:c>
      <x:c r="B486" t="str">
        <x:f>'Weekly Projections'!A208</x:f>
        <x:v>Jaylin Noel</x:v>
      </x:c>
      <x:c r="C486" t="str">
        <x:f>'Weekly Projections'!B208</x:f>
        <x:v>HOU</x:v>
      </x:c>
      <x:c r="D486" t="str">
        <x:f>"FLEX"</x:f>
        <x:v>FLEX</x:v>
      </x:c>
      <x:c r="E486" t="n">
        <x:f>'Weekly Projections'!BA208</x:f>
        <x:v>7</x:v>
      </x:c>
      <x:c r="F486" t="n">
        <x:f>'Weekly Projections'!AW208</x:f>
        <x:v>4.358171443478261</x:v>
      </x:c>
    </x:row>
    <x:row r="487">
      <x:c r="A487" t="n">
        <x:f>164</x:f>
        <x:v>164</x:v>
      </x:c>
      <x:c r="B487" t="str">
        <x:f>'Weekly Projections'!A209</x:f>
        <x:v>Kayshon Boutte</x:v>
      </x:c>
      <x:c r="C487" t="str">
        <x:f>'Weekly Projections'!B209</x:f>
        <x:v>HOU</x:v>
      </x:c>
      <x:c r="D487" t="str">
        <x:f>"FLEX"</x:f>
        <x:v>FLEX</x:v>
      </x:c>
      <x:c r="E487" t="n">
        <x:f>'Weekly Projections'!BA209</x:f>
        <x:v>7</x:v>
      </x:c>
      <x:c r="F487" t="n">
        <x:f>'Weekly Projections'!AW209</x:f>
        <x:v>4.358171443478261</x:v>
      </x:c>
    </x:row>
    <x:row r="488">
      <x:c r="A488" t="n">
        <x:f>165</x:f>
        <x:v>165</x:v>
      </x:c>
      <x:c r="B488" t="str">
        <x:f>'Weekly Projections'!A210</x:f>
        <x:v>Andrei Iosivas</x:v>
      </x:c>
      <x:c r="C488" t="str">
        <x:f>'Weekly Projections'!B210</x:f>
        <x:v>CIN</x:v>
      </x:c>
      <x:c r="D488" t="str">
        <x:f>"FLEX"</x:f>
        <x:v>FLEX</x:v>
      </x:c>
      <x:c r="E488" t="n">
        <x:f>'Weekly Projections'!BA210</x:f>
        <x:v>7</x:v>
      </x:c>
      <x:c r="F488" t="n">
        <x:f>'Weekly Projections'!AW210</x:f>
        <x:v>4.330097391304348</x:v>
      </x:c>
    </x:row>
    <x:row r="489">
      <x:c r="A489" t="n">
        <x:f>166</x:f>
        <x:v>166</x:v>
      </x:c>
      <x:c r="B489" t="str">
        <x:f>'Weekly Projections'!A211</x:f>
        <x:v>Darius Slayton</x:v>
      </x:c>
      <x:c r="C489" t="str">
        <x:f>'Weekly Projections'!B211</x:f>
        <x:v>IND</x:v>
      </x:c>
      <x:c r="D489" t="str">
        <x:f>"FLEX"</x:f>
        <x:v>FLEX</x:v>
      </x:c>
      <x:c r="E489" t="n">
        <x:f>'Weekly Projections'!BA211</x:f>
        <x:v>7</x:v>
      </x:c>
      <x:c r="F489" t="n">
        <x:f>'Weekly Projections'!AW211</x:f>
        <x:v>4.1715</x:v>
      </x:c>
    </x:row>
    <x:row r="490">
      <x:c r="A490" t="n">
        <x:f>167</x:f>
        <x:v>167</x:v>
      </x:c>
      <x:c r="B490" t="str">
        <x:f>'Weekly Projections'!A276</x:f>
        <x:v>Darren Waller</x:v>
      </x:c>
      <x:c r="C490" t="str">
        <x:f>'Weekly Projections'!B276</x:f>
        <x:v>CAR</x:v>
      </x:c>
      <x:c r="D490" t="str">
        <x:f>"FLEX"</x:f>
        <x:v>FLEX</x:v>
      </x:c>
      <x:c r="E490" t="n">
        <x:f>'Weekly Projections'!BA276</x:f>
        <x:v>6</x:v>
      </x:c>
      <x:c r="F490" t="n">
        <x:f>'Weekly Projections'!AW276</x:f>
        <x:v>4.166770860927152</x:v>
      </x:c>
    </x:row>
    <x:row r="491">
      <x:c r="A491" t="n">
        <x:f>168</x:f>
        <x:v>168</x:v>
      </x:c>
      <x:c r="B491" t="str">
        <x:f>'Weekly Projections'!A212</x:f>
        <x:v>Dontayvion Wicks</x:v>
      </x:c>
      <x:c r="C491" t="str">
        <x:f>'Weekly Projections'!B212</x:f>
        <x:v>PHI</x:v>
      </x:c>
      <x:c r="D491" t="str">
        <x:f>"FLEX"</x:f>
        <x:v>FLEX</x:v>
      </x:c>
      <x:c r="E491" t="n">
        <x:f>'Weekly Projections'!BA212</x:f>
        <x:v>7</x:v>
      </x:c>
      <x:c r="F491" t="n">
        <x:f>'Weekly Projections'!AW212</x:f>
        <x:v>4.158399999999999</x:v>
      </x:c>
    </x:row>
    <x:row r="492">
      <x:c r="A492" t="n">
        <x:f>169</x:f>
        <x:v>169</x:v>
      </x:c>
      <x:c r="B492" t="str">
        <x:f>'Weekly Projections'!A277</x:f>
        <x:v>Colby Parkinson</x:v>
      </x:c>
      <x:c r="C492" t="str">
        <x:f>'Weekly Projections'!B277</x:f>
        <x:v>LAR</x:v>
      </x:c>
      <x:c r="D492" t="str">
        <x:f>"FLEX"</x:f>
        <x:v>FLEX</x:v>
      </x:c>
      <x:c r="E492" t="n">
        <x:f>'Weekly Projections'!BA277</x:f>
        <x:v>6</x:v>
      </x:c>
      <x:c r="F492" t="n">
        <x:f>'Weekly Projections'!AW277</x:f>
        <x:v>4.126906490066226</x:v>
      </x:c>
    </x:row>
    <x:row r="493">
      <x:c r="A493" t="n">
        <x:f>170</x:f>
        <x:v>170</x:v>
      </x:c>
      <x:c r="B493" t="str">
        <x:f>'Weekly Projections'!A213</x:f>
        <x:v>Isaac TeSlaa</x:v>
      </x:c>
      <x:c r="C493" t="str">
        <x:f>'Weekly Projections'!B213</x:f>
        <x:v>DET</x:v>
      </x:c>
      <x:c r="D493" t="str">
        <x:f>"FLEX"</x:f>
        <x:v>FLEX</x:v>
      </x:c>
      <x:c r="E493" t="n">
        <x:f>'Weekly Projections'!BA213</x:f>
        <x:v>7</x:v>
      </x:c>
      <x:c r="F493" t="n">
        <x:f>'Weekly Projections'!AW213</x:f>
        <x:v>4.085877391304348</x:v>
      </x:c>
    </x:row>
    <x:row r="494">
      <x:c r="A494" t="n">
        <x:f>171</x:f>
        <x:v>171</x:v>
      </x:c>
      <x:c r="B494" t="str">
        <x:f>'Weekly Projections'!A214</x:f>
        <x:v>Germie Bernard</x:v>
      </x:c>
      <x:c r="C494" t="str">
        <x:f>'Weekly Projections'!B214</x:f>
        <x:v>PIT</x:v>
      </x:c>
      <x:c r="D494" t="str">
        <x:f>"FLEX"</x:f>
        <x:v>FLEX</x:v>
      </x:c>
      <x:c r="E494" t="n">
        <x:f>'Weekly Projections'!BA214</x:f>
        <x:v>7</x:v>
      </x:c>
      <x:c r="F494" t="n">
        <x:f>'Weekly Projections'!AW214</x:f>
        <x:v>3.9686956521739134</x:v>
      </x:c>
    </x:row>
    <x:row r="495">
      <x:c r="A495" t="n">
        <x:f>172</x:f>
        <x:v>172</x:v>
      </x:c>
      <x:c r="B495" t="str">
        <x:f>'Weekly Projections'!A215</x:f>
        <x:v>Malik Washington</x:v>
      </x:c>
      <x:c r="C495" t="str">
        <x:f>'Weekly Projections'!B215</x:f>
        <x:v>MIA</x:v>
      </x:c>
      <x:c r="D495" t="str">
        <x:f>"FLEX"</x:f>
        <x:v>FLEX</x:v>
      </x:c>
      <x:c r="E495" t="n">
        <x:f>'Weekly Projections'!BA215</x:f>
        <x:v>7</x:v>
      </x:c>
      <x:c r="F495" t="n">
        <x:f>'Weekly Projections'!AW215</x:f>
        <x:v>3.941973913043478</x:v>
      </x:c>
    </x:row>
    <x:row r="496">
      <x:c r="A496" t="n">
        <x:f>173</x:f>
        <x:v>173</x:v>
      </x:c>
      <x:c r="B496" t="str">
        <x:f>'Weekly Projections'!A97</x:f>
        <x:v>Kimani Vidal</x:v>
      </x:c>
      <x:c r="C496" t="str">
        <x:f>'Weekly Projections'!B97</x:f>
        <x:v>LAC</x:v>
      </x:c>
      <x:c r="D496" t="str">
        <x:f>"FLEX"</x:f>
        <x:v>FLEX</x:v>
      </x:c>
      <x:c r="E496" t="n">
        <x:f>'Weekly Projections'!BA97</x:f>
        <x:v>7</x:v>
      </x:c>
      <x:c r="F496" t="n">
        <x:f>'Weekly Projections'!AW97</x:f>
        <x:v>3.891692307692308</x:v>
      </x:c>
    </x:row>
    <x:row r="497">
      <x:c r="A497" t="n">
        <x:f>174</x:f>
        <x:v>174</x:v>
      </x:c>
      <x:c r="B497" t="str">
        <x:f>'Weekly Projections'!A216</x:f>
        <x:v>Tyquan Thornton</x:v>
      </x:c>
      <x:c r="C497" t="str">
        <x:f>'Weekly Projections'!B216</x:f>
        <x:v>KC</x:v>
      </x:c>
      <x:c r="D497" t="str">
        <x:f>"FLEX"</x:f>
        <x:v>FLEX</x:v>
      </x:c>
      <x:c r="E497" t="n">
        <x:f>'Weekly Projections'!BA216</x:f>
        <x:v>7</x:v>
      </x:c>
      <x:c r="F497" t="n">
        <x:f>'Weekly Projections'!AW216</x:f>
        <x:v>3.8763452173913047</x:v>
      </x:c>
    </x:row>
    <x:row r="498">
      <x:c r="A498" t="n">
        <x:f>175</x:f>
        <x:v>175</x:v>
      </x:c>
      <x:c r="B498" t="str">
        <x:f>'Weekly Projections'!A104</x:f>
        <x:v>Chris Brooks</x:v>
      </x:c>
      <x:c r="C498" t="str">
        <x:f>'Weekly Projections'!B104</x:f>
        <x:v>GB</x:v>
      </x:c>
      <x:c r="D498" t="str">
        <x:f>"FLEX"</x:f>
        <x:v>FLEX</x:v>
      </x:c>
      <x:c r="E498" t="n">
        <x:f>'Weekly Projections'!BA104</x:f>
        <x:v>7</x:v>
      </x:c>
      <x:c r="F498" t="n">
        <x:f>'Weekly Projections'!AW104</x:f>
        <x:v>3.86</x:v>
      </x:c>
    </x:row>
    <x:row r="499">
      <x:c r="A499" t="n">
        <x:f>176</x:f>
        <x:v>176</x:v>
      </x:c>
      <x:c r="B499" t="str">
        <x:f>'Weekly Projections'!A217</x:f>
        <x:v>Christian Kirk</x:v>
      </x:c>
      <x:c r="C499" t="str">
        <x:f>'Weekly Projections'!B217</x:f>
        <x:v>SF</x:v>
      </x:c>
      <x:c r="D499" t="str">
        <x:f>"FLEX"</x:f>
        <x:v>FLEX</x:v>
      </x:c>
      <x:c r="E499" t="n">
        <x:f>'Weekly Projections'!BA217</x:f>
        <x:v>7</x:v>
      </x:c>
      <x:c r="F499" t="n">
        <x:f>'Weekly Projections'!AW217</x:f>
        <x:v>3.8594782608695652</x:v>
      </x:c>
    </x:row>
    <x:row r="500">
      <x:c r="A500" t="n">
        <x:f>177</x:f>
        <x:v>177</x:v>
      </x:c>
      <x:c r="B500" t="str">
        <x:f>'Weekly Projections'!A157</x:f>
        <x:v>Puka Nacua</x:v>
      </x:c>
      <x:c r="C500" t="str">
        <x:f>'Weekly Projections'!B157</x:f>
        <x:v>LAR</x:v>
      </x:c>
      <x:c r="D500" t="str">
        <x:f>"FLEX"</x:f>
        <x:v>FLEX</x:v>
      </x:c>
      <x:c r="E500" t="n">
        <x:f>'Weekly Projections'!BA157</x:f>
        <x:v>2</x:v>
      </x:c>
      <x:c r="F500" t="n">
        <x:f>'Weekly Projections'!AW157</x:f>
        <x:v>3.8035992608695652</x:v>
      </x:c>
    </x:row>
    <x:row r="501">
      <x:c r="A501" t="n">
        <x:f>178</x:f>
        <x:v>178</x:v>
      </x:c>
      <x:c r="B501" t="str">
        <x:f>'Weekly Projections'!A218</x:f>
        <x:v>Cooper Kupp</x:v>
      </x:c>
      <x:c r="C501" t="str">
        <x:f>'Weekly Projections'!B218</x:f>
        <x:v>SEA</x:v>
      </x:c>
      <x:c r="D501" t="str">
        <x:f>"FLEX"</x:f>
        <x:v>FLEX</x:v>
      </x:c>
      <x:c r="E501" t="n">
        <x:f>'Weekly Projections'!BA218</x:f>
        <x:v>7</x:v>
      </x:c>
      <x:c r="F501" t="n">
        <x:f>'Weekly Projections'!AW218</x:f>
        <x:v>3.786869565217392</x:v>
      </x:c>
    </x:row>
    <x:row r="502">
      <x:c r="A502" t="n">
        <x:f>179</x:f>
        <x:v>179</x:v>
      </x:c>
      <x:c r="B502" t="str">
        <x:f>'Weekly Projections'!A219</x:f>
        <x:v>Elijah Sarratt</x:v>
      </x:c>
      <x:c r="C502" t="str">
        <x:f>'Weekly Projections'!B219</x:f>
        <x:v>BAL</x:v>
      </x:c>
      <x:c r="D502" t="str">
        <x:f>"FLEX"</x:f>
        <x:v>FLEX</x:v>
      </x:c>
      <x:c r="E502" t="n">
        <x:f>'Weekly Projections'!BA219</x:f>
        <x:v>8</x:v>
      </x:c>
      <x:c r="F502" t="n">
        <x:f>'Weekly Projections'!AW219</x:f>
        <x:v>3.7520000000000002</x:v>
      </x:c>
    </x:row>
    <x:row r="503">
      <x:c r="A503" t="n">
        <x:f>180</x:f>
        <x:v>180</x:v>
      </x:c>
      <x:c r="B503" t="str">
        <x:f>'Weekly Projections'!A220</x:f>
        <x:v>Troy Franklin</x:v>
      </x:c>
      <x:c r="C503" t="str">
        <x:f>'Weekly Projections'!B220</x:f>
        <x:v>DEN</x:v>
      </x:c>
      <x:c r="D503" t="str">
        <x:f>"FLEX"</x:f>
        <x:v>FLEX</x:v>
      </x:c>
      <x:c r="E503" t="n">
        <x:f>'Weekly Projections'!BA220</x:f>
        <x:v>8</x:v>
      </x:c>
      <x:c r="F503" t="n">
        <x:f>'Weekly Projections'!AW220</x:f>
        <x:v>3.7405217391304353</x:v>
      </x:c>
    </x:row>
    <x:row r="504">
      <x:c r="A504" t="n">
        <x:f>181</x:f>
        <x:v>181</x:v>
      </x:c>
      <x:c r="B504" t="str">
        <x:f>'Weekly Projections'!A98</x:f>
        <x:v>Najee Harris</x:v>
      </x:c>
      <x:c r="C504" t="str">
        <x:f>'Weekly Projections'!B98</x:f>
        <x:v>NYG</x:v>
      </x:c>
      <x:c r="D504" t="str">
        <x:f>"FLEX"</x:f>
        <x:v>FLEX</x:v>
      </x:c>
      <x:c r="E504" t="n">
        <x:f>'Weekly Projections'!BA98</x:f>
        <x:v>7</x:v>
      </x:c>
      <x:c r="F504" t="n">
        <x:f>'Weekly Projections'!AW98</x:f>
        <x:v>3.7105730526315783</x:v>
      </x:c>
    </x:row>
    <x:row r="505">
      <x:c r="A505" t="n">
        <x:f>182</x:f>
        <x:v>182</x:v>
      </x:c>
      <x:c r="B505" t="str">
        <x:f>'Weekly Projections'!A221</x:f>
        <x:v>Travis Hunter</x:v>
      </x:c>
      <x:c r="C505" t="str">
        <x:f>'Weekly Projections'!B221</x:f>
        <x:v>JAC</x:v>
      </x:c>
      <x:c r="D505" t="str">
        <x:f>"FLEX"</x:f>
        <x:v>FLEX</x:v>
      </x:c>
      <x:c r="E505" t="n">
        <x:f>'Weekly Projections'!BA221</x:f>
        <x:v>8</x:v>
      </x:c>
      <x:c r="F505" t="n">
        <x:f>'Weekly Projections'!AW221</x:f>
        <x:v>3.67104347826087</x:v>
      </x:c>
    </x:row>
    <x:row r="506">
      <x:c r="A506" t="n">
        <x:f>183</x:f>
        <x:v>183</x:v>
      </x:c>
      <x:c r="B506" t="str">
        <x:f>'Weekly Projections'!A100</x:f>
        <x:v>Seth McGowan</x:v>
      </x:c>
      <x:c r="C506" t="str">
        <x:f>'Weekly Projections'!B100</x:f>
        <x:v>IND</x:v>
      </x:c>
      <x:c r="D506" t="str">
        <x:f>"FLEX"</x:f>
        <x:v>FLEX</x:v>
      </x:c>
      <x:c r="E506" t="n">
        <x:f>'Weekly Projections'!BA100</x:f>
        <x:v>7</x:v>
      </x:c>
      <x:c r="F506" t="n">
        <x:f>'Weekly Projections'!AW100</x:f>
        <x:v>3.664615384615384</x:v>
      </x:c>
    </x:row>
    <x:row r="507">
      <x:c r="A507" t="n">
        <x:f>184</x:f>
        <x:v>184</x:v>
      </x:c>
      <x:c r="B507" t="str">
        <x:f>'Weekly Projections'!A222</x:f>
        <x:v>Jack Bech</x:v>
      </x:c>
      <x:c r="C507" t="str">
        <x:f>'Weekly Projections'!B222</x:f>
        <x:v>LV</x:v>
      </x:c>
      <x:c r="D507" t="str">
        <x:f>"FLEX"</x:f>
        <x:v>FLEX</x:v>
      </x:c>
      <x:c r="E507" t="n">
        <x:f>'Weekly Projections'!BA222</x:f>
        <x:v>8</x:v>
      </x:c>
      <x:c r="F507" t="n">
        <x:f>'Weekly Projections'!AW222</x:f>
        <x:v>3.598873043478261</x:v>
      </x:c>
    </x:row>
    <x:row r="508">
      <x:c r="A508" t="n">
        <x:f>185</x:f>
        <x:v>185</x:v>
      </x:c>
      <x:c r="B508" t="str">
        <x:f>'Weekly Projections'!A223</x:f>
        <x:v>Kyle Williams</x:v>
      </x:c>
      <x:c r="C508" t="str">
        <x:f>'Weekly Projections'!B223</x:f>
        <x:v>NE</x:v>
      </x:c>
      <x:c r="D508" t="str">
        <x:f>"FLEX"</x:f>
        <x:v>FLEX</x:v>
      </x:c>
      <x:c r="E508" t="n">
        <x:f>'Weekly Projections'!BA223</x:f>
        <x:v>8</x:v>
      </x:c>
      <x:c r="F508" t="n">
        <x:f>'Weekly Projections'!AW223</x:f>
        <x:v>3.598873043478261</x:v>
      </x:c>
    </x:row>
    <x:row r="509">
      <x:c r="A509" t="n">
        <x:f>186</x:f>
        <x:v>186</x:v>
      </x:c>
      <x:c r="B509" t="str">
        <x:f>'Weekly Projections'!A225</x:f>
        <x:v>Elic Ayomanor</x:v>
      </x:c>
      <x:c r="C509" t="str">
        <x:f>'Weekly Projections'!B225</x:f>
        <x:v>TEN</x:v>
      </x:c>
      <x:c r="D509" t="str">
        <x:f>"FLEX"</x:f>
        <x:v>FLEX</x:v>
      </x:c>
      <x:c r="E509" t="n">
        <x:f>'Weekly Projections'!BA225</x:f>
        <x:v>8</x:v>
      </x:c>
      <x:c r="F509" t="n">
        <x:f>'Weekly Projections'!AW225</x:f>
        <x:v>3.469321739130435</x:v>
      </x:c>
    </x:row>
    <x:row r="510">
      <x:c r="A510" t="n">
        <x:f>187</x:f>
        <x:v>187</x:v>
      </x:c>
      <x:c r="B510" t="str">
        <x:f>'Weekly Projections'!A101</x:f>
        <x:v>Jordan James</x:v>
      </x:c>
      <x:c r="C510" t="str">
        <x:f>'Weekly Projections'!B101</x:f>
        <x:v>SF</x:v>
      </x:c>
      <x:c r="D510" t="str">
        <x:f>"FLEX"</x:f>
        <x:v>FLEX</x:v>
      </x:c>
      <x:c r="E510" t="n">
        <x:f>'Weekly Projections'!BA101</x:f>
        <x:v>7</x:v>
      </x:c>
      <x:c r="F510" t="n">
        <x:f>'Weekly Projections'!AW101</x:f>
        <x:v>3.358785425101214</x:v>
      </x:c>
    </x:row>
    <x:row r="511">
      <x:c r="A511" t="n">
        <x:f>188</x:f>
        <x:v>188</x:v>
      </x:c>
      <x:c r="B511" t="str">
        <x:f>'Weekly Projections'!A226</x:f>
        <x:v>Omar Cooper Jr.</x:v>
      </x:c>
      <x:c r="C511" t="str">
        <x:f>'Weekly Projections'!B226</x:f>
        <x:v>NYJ</x:v>
      </x:c>
      <x:c r="D511" t="str">
        <x:f>"FLEX"</x:f>
        <x:v>FLEX</x:v>
      </x:c>
      <x:c r="E511" t="n">
        <x:f>'Weekly Projections'!BA226</x:f>
        <x:v>8</x:v>
      </x:c>
      <x:c r="F511" t="n">
        <x:f>'Weekly Projections'!AW226</x:f>
        <x:v>3.3227269565217386</x:v>
      </x:c>
    </x:row>
    <x:row r="512">
      <x:c r="A512" t="n">
        <x:f>189</x:f>
        <x:v>189</x:v>
      </x:c>
      <x:c r="B512" t="str">
        <x:f>'Weekly Projections'!A227</x:f>
        <x:v>Caleb Douglas</x:v>
      </x:c>
      <x:c r="C512" t="str">
        <x:f>'Weekly Projections'!B227</x:f>
        <x:v>MIA</x:v>
      </x:c>
      <x:c r="D512" t="str">
        <x:f>"FLEX"</x:f>
        <x:v>FLEX</x:v>
      </x:c>
      <x:c r="E512" t="n">
        <x:f>'Weekly Projections'!BA227</x:f>
        <x:v>8</x:v>
      </x:c>
      <x:c r="F512" t="n">
        <x:f>'Weekly Projections'!AW227</x:f>
        <x:v>3.2849782608695657</x:v>
      </x:c>
    </x:row>
    <x:row r="513">
      <x:c r="A513" t="n">
        <x:f>190</x:f>
        <x:v>190</x:v>
      </x:c>
      <x:c r="B513" t="str">
        <x:f>'Weekly Projections'!A102</x:f>
        <x:v>Sean Tucker</x:v>
      </x:c>
      <x:c r="C513" t="str">
        <x:f>'Weekly Projections'!B102</x:f>
        <x:v>TB</x:v>
      </x:c>
      <x:c r="D513" t="str">
        <x:f>"FLEX"</x:f>
        <x:v>FLEX</x:v>
      </x:c>
      <x:c r="E513" t="n">
        <x:f>'Weekly Projections'!BA102</x:f>
        <x:v>7</x:v>
      </x:c>
      <x:c r="F513" t="n">
        <x:f>'Weekly Projections'!AW102</x:f>
        <x:v>3.1997149797570854</x:v>
      </x:c>
    </x:row>
    <x:row r="514">
      <x:c r="A514" t="n">
        <x:f>191</x:f>
        <x:v>191</x:v>
      </x:c>
      <x:c r="B514" t="str">
        <x:f>'Weekly Projections'!A224</x:f>
        <x:v>Darnell Mooney</x:v>
      </x:c>
      <x:c r="C514" t="str">
        <x:f>'Weekly Projections'!B224</x:f>
        <x:v>NYG</x:v>
      </x:c>
      <x:c r="D514" t="str">
        <x:f>"FLEX"</x:f>
        <x:v>FLEX</x:v>
      </x:c>
      <x:c r="E514" t="n">
        <x:f>'Weekly Projections'!BA224</x:f>
        <x:v>8</x:v>
      </x:c>
      <x:c r="F514" t="n">
        <x:f>'Weekly Projections'!AW224</x:f>
        <x:v>3.197438608695653</x:v>
      </x:c>
    </x:row>
    <x:row r="515">
      <x:c r="A515" t="n">
        <x:f>192</x:f>
        <x:v>192</x:v>
      </x:c>
      <x:c r="B515" t="str">
        <x:f>'Weekly Projections'!A103</x:f>
        <x:v>James Conner</x:v>
      </x:c>
      <x:c r="C515" t="str">
        <x:f>'Weekly Projections'!B103</x:f>
        <x:v>ARI</x:v>
      </x:c>
      <x:c r="D515" t="str">
        <x:f>"FLEX"</x:f>
        <x:v>FLEX</x:v>
      </x:c>
      <x:c r="E515" t="n">
        <x:f>'Weekly Projections'!BA103</x:f>
        <x:v>7</x:v>
      </x:c>
      <x:c r="F515" t="n">
        <x:f>'Weekly Projections'!AW103</x:f>
        <x:v>3.1236437246963553</x:v>
      </x:c>
    </x:row>
    <x:row r="516">
      <x:c r="A516" t="n">
        <x:f>193</x:f>
        <x:v>193</x:v>
      </x:c>
      <x:c r="B516" t="str">
        <x:f>'Weekly Projections'!A229</x:f>
        <x:v>Chimere Dike</x:v>
      </x:c>
      <x:c r="C516" t="str">
        <x:f>'Weekly Projections'!B229</x:f>
        <x:v>TEN</x:v>
      </x:c>
      <x:c r="D516" t="str">
        <x:f>"FLEX"</x:f>
        <x:v>FLEX</x:v>
      </x:c>
      <x:c r="E516" t="n">
        <x:f>'Weekly Projections'!BA229</x:f>
        <x:v>8</x:v>
      </x:c>
      <x:c r="F516" t="n">
        <x:f>'Weekly Projections'!AW229</x:f>
        <x:v>3.0728278260869564</x:v>
      </x:c>
    </x:row>
    <x:row r="517">
      <x:c r="A517" t="n">
        <x:f>194</x:f>
        <x:v>194</x:v>
      </x:c>
      <x:c r="B517" t="str">
        <x:f>'Weekly Projections'!A105</x:f>
        <x:v>Demond Claiborne</x:v>
      </x:c>
      <x:c r="C517" t="str">
        <x:f>'Weekly Projections'!B105</x:f>
        <x:v>MIN</x:v>
      </x:c>
      <x:c r="D517" t="str">
        <x:f>"FLEX"</x:f>
        <x:v>FLEX</x:v>
      </x:c>
      <x:c r="E517" t="n">
        <x:f>'Weekly Projections'!BA105</x:f>
        <x:v>7</x:v>
      </x:c>
      <x:c r="F517" t="n">
        <x:f>'Weekly Projections'!AW105</x:f>
        <x:v>3.0723886639676117</x:v>
      </x:c>
    </x:row>
    <x:row r="518">
      <x:c r="A518" t="n">
        <x:f>195</x:f>
        <x:v>195</x:v>
      </x:c>
      <x:c r="B518" t="str">
        <x:f>'Weekly Projections'!A107</x:f>
        <x:v>Emanuel Wilson</x:v>
      </x:c>
      <x:c r="C518" t="str">
        <x:f>'Weekly Projections'!B107</x:f>
        <x:v>SEA</x:v>
      </x:c>
      <x:c r="D518" t="str">
        <x:f>"FLEX"</x:f>
        <x:v>FLEX</x:v>
      </x:c>
      <x:c r="E518" t="n">
        <x:f>'Weekly Projections'!BA107</x:f>
        <x:v>8</x:v>
      </x:c>
      <x:c r="F518" t="n">
        <x:f>'Weekly Projections'!AW107</x:f>
        <x:v>3.0000000000000004</x:v>
      </x:c>
    </x:row>
    <x:row r="519">
      <x:c r="A519" t="n">
        <x:f>196</x:f>
        <x:v>196</x:v>
      </x:c>
      <x:c r="B519" t="str">
        <x:f>'Weekly Projections'!A230</x:f>
        <x:v>DeMario Douglas</x:v>
      </x:c>
      <x:c r="C519" t="str">
        <x:f>'Weekly Projections'!B230</x:f>
        <x:v>NE</x:v>
      </x:c>
      <x:c r="D519" t="str">
        <x:f>"FLEX"</x:f>
        <x:v>FLEX</x:v>
      </x:c>
      <x:c r="E519" t="n">
        <x:f>'Weekly Projections'!BA230</x:f>
        <x:v>8</x:v>
      </x:c>
      <x:c r="F519" t="n">
        <x:f>'Weekly Projections'!AW230</x:f>
        <x:v>2.9990608695652172</x:v>
      </x:c>
    </x:row>
    <x:row r="520">
      <x:c r="A520" t="n">
        <x:f>197</x:f>
        <x:v>197</x:v>
      </x:c>
      <x:c r="B520" t="str">
        <x:f>'Weekly Projections'!A108</x:f>
        <x:v>Samaje Perine</x:v>
      </x:c>
      <x:c r="C520" t="str">
        <x:f>'Weekly Projections'!B108</x:f>
        <x:v>CIN</x:v>
      </x:c>
      <x:c r="D520" t="str">
        <x:f>"FLEX"</x:f>
        <x:v>FLEX</x:v>
      </x:c>
      <x:c r="E520" t="n">
        <x:f>'Weekly Projections'!BA108</x:f>
        <x:v>8</x:v>
      </x:c>
      <x:c r="F520" t="n">
        <x:f>'Weekly Projections'!AW108</x:f>
        <x:v>2.9727449392712555</x:v>
      </x:c>
    </x:row>
    <x:row r="521">
      <x:c r="A521" t="n">
        <x:f>198</x:f>
        <x:v>198</x:v>
      </x:c>
      <x:c r="B521" t="str">
        <x:f>'Weekly Projections'!A231</x:f>
        <x:v>Kevin Coleman Jr.</x:v>
      </x:c>
      <x:c r="C521" t="str">
        <x:f>'Weekly Projections'!B231</x:f>
        <x:v>MIA</x:v>
      </x:c>
      <x:c r="D521" t="str">
        <x:f>"FLEX"</x:f>
        <x:v>FLEX</x:v>
      </x:c>
      <x:c r="E521" t="n">
        <x:f>'Weekly Projections'!BA231</x:f>
        <x:v>9</x:v>
      </x:c>
      <x:c r="F521" t="n">
        <x:f>'Weekly Projections'!AW231</x:f>
        <x:v>2.9095521739130437</x:v>
      </x:c>
    </x:row>
    <x:row r="522">
      <x:c r="A522" t="n">
        <x:f>199</x:f>
        <x:v>199</x:v>
      </x:c>
      <x:c r="B522" t="str">
        <x:f>'Weekly Projections'!A109</x:f>
        <x:v>Justice Hill</x:v>
      </x:c>
      <x:c r="C522" t="str">
        <x:f>'Weekly Projections'!B109</x:f>
        <x:v>BAL</x:v>
      </x:c>
      <x:c r="D522" t="str">
        <x:f>"FLEX"</x:f>
        <x:v>FLEX</x:v>
      </x:c>
      <x:c r="E522" t="n">
        <x:f>'Weekly Projections'!BA109</x:f>
        <x:v>8</x:v>
      </x:c>
      <x:c r="F522" t="n">
        <x:f>'Weekly Projections'!AW109</x:f>
        <x:v>2.896236437246964</x:v>
      </x:c>
    </x:row>
    <x:row r="523">
      <x:c r="A523" t="n">
        <x:f>200</x:f>
        <x:v>200</x:v>
      </x:c>
      <x:c r="B523" t="str">
        <x:f>'Weekly Projections'!A233</x:f>
        <x:v>Keon Coleman</x:v>
      </x:c>
      <x:c r="C523" t="str">
        <x:f>'Weekly Projections'!B233</x:f>
        <x:v>BUF</x:v>
      </x:c>
      <x:c r="D523" t="str">
        <x:f>"FLEX"</x:f>
        <x:v>FLEX</x:v>
      </x:c>
      <x:c r="E523" t="n">
        <x:f>'Weekly Projections'!BA233</x:f>
        <x:v>9</x:v>
      </x:c>
      <x:c r="F523" t="n">
        <x:f>'Weekly Projections'!AW233</x:f>
        <x:v>2.842073043478261</x:v>
      </x:c>
    </x:row>
    <x:row r="524">
      <x:c r="A524" t="n">
        <x:f>201</x:f>
        <x:v>201</x:v>
      </x:c>
      <x:c r="B524" t="str">
        <x:f>'Weekly Projections'!A111</x:f>
        <x:v>Kendre Miller</x:v>
      </x:c>
      <x:c r="C524" t="str">
        <x:f>'Weekly Projections'!B111</x:f>
        <x:v>NO</x:v>
      </x:c>
      <x:c r="D524" t="str">
        <x:f>"FLEX"</x:f>
        <x:v>FLEX</x:v>
      </x:c>
      <x:c r="E524" t="n">
        <x:f>'Weekly Projections'!BA111</x:f>
        <x:v>8</x:v>
      </x:c>
      <x:c r="F524" t="n">
        <x:f>'Weekly Projections'!AW111</x:f>
        <x:v>2.6759514170040486</x:v>
      </x:c>
    </x:row>
    <x:row r="525">
      <x:c r="A525" t="n">
        <x:f>202</x:f>
        <x:v>202</x:v>
      </x:c>
      <x:c r="B525" t="str">
        <x:f>'Weekly Projections'!A234</x:f>
        <x:v>Skyler Bell</x:v>
      </x:c>
      <x:c r="C525" t="str">
        <x:f>'Weekly Projections'!B234</x:f>
        <x:v>BUF</x:v>
      </x:c>
      <x:c r="D525" t="str">
        <x:f>"FLEX"</x:f>
        <x:v>FLEX</x:v>
      </x:c>
      <x:c r="E525" t="n">
        <x:f>'Weekly Projections'!BA234</x:f>
        <x:v>9</x:v>
      </x:c>
      <x:c r="F525" t="n">
        <x:f>'Weekly Projections'!AW234</x:f>
        <x:v>2.652601507246377</x:v>
      </x:c>
    </x:row>
    <x:row r="526">
      <x:c r="A526" t="n">
        <x:f>203</x:f>
        <x:v>203</x:v>
      </x:c>
      <x:c r="B526" t="str">
        <x:f>'Weekly Projections'!A112</x:f>
        <x:v>Ollie Gordon II</x:v>
      </x:c>
      <x:c r="C526" t="str">
        <x:f>'Weekly Projections'!B112</x:f>
        <x:v>MIA</x:v>
      </x:c>
      <x:c r="D526" t="str">
        <x:f>"FLEX"</x:f>
        <x:v>FLEX</x:v>
      </x:c>
      <x:c r="E526" t="n">
        <x:f>'Weekly Projections'!BA112</x:f>
        <x:v>8</x:v>
      </x:c>
      <x:c r="F526" t="n">
        <x:f>'Weekly Projections'!AW112</x:f>
        <x:v>2.628417813765182</x:v>
      </x:c>
    </x:row>
    <x:row r="527">
      <x:c r="A527" t="n">
        <x:f>204</x:f>
        <x:v>204</x:v>
      </x:c>
      <x:c r="B527" t="str">
        <x:f>'Weekly Projections'!A235</x:f>
        <x:v>Konata Mumpfield</x:v>
      </x:c>
      <x:c r="C527" t="str">
        <x:f>'Weekly Projections'!B235</x:f>
        <x:v>LAR</x:v>
      </x:c>
      <x:c r="D527" t="str">
        <x:f>"FLEX"</x:f>
        <x:v>FLEX</x:v>
      </x:c>
      <x:c r="E527" t="n">
        <x:f>'Weekly Projections'!BA235</x:f>
        <x:v>9</x:v>
      </x:c>
      <x:c r="F527" t="n">
        <x:f>'Weekly Projections'!AW235</x:f>
        <x:v>2.5892765217391314</x:v>
      </x:c>
    </x:row>
    <x:row r="528">
      <x:c r="A528" t="n">
        <x:f>205</x:f>
        <x:v>205</x:v>
      </x:c>
      <x:c r="B528" t="str">
        <x:f>'Weekly Projections'!A113</x:f>
        <x:v>LeQuint Allen Jr.</x:v>
      </x:c>
      <x:c r="C528" t="str">
        <x:f>'Weekly Projections'!B113</x:f>
        <x:v>JAC</x:v>
      </x:c>
      <x:c r="D528" t="str">
        <x:f>"FLEX"</x:f>
        <x:v>FLEX</x:v>
      </x:c>
      <x:c r="E528" t="n">
        <x:f>'Weekly Projections'!BA113</x:f>
        <x:v>8</x:v>
      </x:c>
      <x:c r="F528" t="n">
        <x:f>'Weekly Projections'!AW113</x:f>
        <x:v>2.5</x:v>
      </x:c>
    </x:row>
    <x:row r="529">
      <x:c r="A529" t="n">
        <x:f>206</x:f>
        <x:v>206</x:v>
      </x:c>
      <x:c r="B529" t="str">
        <x:f>'Weekly Projections'!A236</x:f>
        <x:v>Jahan Dotson</x:v>
      </x:c>
      <x:c r="C529" t="str">
        <x:f>'Weekly Projections'!B236</x:f>
        <x:v>ATL</x:v>
      </x:c>
      <x:c r="D529" t="str">
        <x:f>"FLEX"</x:f>
        <x:v>FLEX</x:v>
      </x:c>
      <x:c r="E529" t="n">
        <x:f>'Weekly Projections'!BA236</x:f>
        <x:v>9</x:v>
      </x:c>
      <x:c r="F529" t="n">
        <x:f>'Weekly Projections'!AW236</x:f>
        <x:v>2.460006956521739</x:v>
      </x:c>
    </x:row>
    <x:row r="530">
      <x:c r="A530" t="n">
        <x:f>207</x:f>
        <x:v>207</x:v>
      </x:c>
      <x:c r="B530" t="str">
        <x:f>'Weekly Projections'!A115</x:f>
        <x:v>Ty Johnson</x:v>
      </x:c>
      <x:c r="C530" t="str">
        <x:f>'Weekly Projections'!B115</x:f>
        <x:v>BUF</x:v>
      </x:c>
      <x:c r="D530" t="str">
        <x:f>"FLEX"</x:f>
        <x:v>FLEX</x:v>
      </x:c>
      <x:c r="E530" t="n">
        <x:f>'Weekly Projections'!BA115</x:f>
        <x:v>8</x:v>
      </x:c>
      <x:c r="F530" t="n">
        <x:f>'Weekly Projections'!AW115</x:f>
        <x:v>2.3819433198380566</x:v>
      </x:c>
    </x:row>
    <x:row r="531">
      <x:c r="A531" t="n">
        <x:f>208</x:f>
        <x:v>208</x:v>
      </x:c>
      <x:c r="B531" t="str">
        <x:f>'Weekly Projections'!A114</x:f>
        <x:v>Devin Singletary</x:v>
      </x:c>
      <x:c r="C531" t="str">
        <x:f>'Weekly Projections'!B114</x:f>
        <x:v>NYG</x:v>
      </x:c>
      <x:c r="D531" t="str">
        <x:f>"FLEX"</x:f>
        <x:v>FLEX</x:v>
      </x:c>
      <x:c r="E531" t="n">
        <x:f>'Weekly Projections'!BA114</x:f>
        <x:v>8</x:v>
      </x:c>
      <x:c r="F531" t="n">
        <x:f>'Weekly Projections'!AW114</x:f>
        <x:v>2.378572469635628</x:v>
      </x:c>
    </x:row>
    <x:row r="532">
      <x:c r="A532" t="n">
        <x:f>209</x:f>
        <x:v>209</x:v>
      </x:c>
      <x:c r="B532" t="str">
        <x:f>'Weekly Projections'!A237</x:f>
        <x:v>Marvin Mims Jr.</x:v>
      </x:c>
      <x:c r="C532" t="str">
        <x:f>'Weekly Projections'!B237</x:f>
        <x:v>DEN</x:v>
      </x:c>
      <x:c r="D532" t="str">
        <x:f>"FLEX"</x:f>
        <x:v>FLEX</x:v>
      </x:c>
      <x:c r="E532" t="n">
        <x:f>'Weekly Projections'!BA237</x:f>
        <x:v>9</x:v>
      </x:c>
      <x:c r="F532" t="n">
        <x:f>'Weekly Projections'!AW237</x:f>
        <x:v>2.3624347826086955</x:v>
      </x:c>
    </x:row>
    <x:row r="533">
      <x:c r="A533" t="n">
        <x:f>210</x:f>
        <x:v>210</x:v>
      </x:c>
      <x:c r="B533" t="str">
        <x:f>'Weekly Projections'!A238</x:f>
        <x:v>Joshua Palmer</x:v>
      </x:c>
      <x:c r="C533" t="str">
        <x:f>'Weekly Projections'!B238</x:f>
        <x:v>BUF</x:v>
      </x:c>
      <x:c r="D533" t="str">
        <x:f>"FLEX"</x:f>
        <x:v>FLEX</x:v>
      </x:c>
      <x:c r="E533" t="n">
        <x:f>'Weekly Projections'!BA238</x:f>
        <x:v>9</x:v>
      </x:c>
      <x:c r="F533" t="n">
        <x:f>'Weekly Projections'!AW238</x:f>
        <x:v>2.3345599999999997</x:v>
      </x:c>
    </x:row>
    <x:row r="534">
      <x:c r="A534" t="n">
        <x:f>211</x:f>
        <x:v>211</x:v>
      </x:c>
      <x:c r="B534" t="str">
        <x:f>'Weekly Projections'!A116</x:f>
        <x:v>DJ Giddens</x:v>
      </x:c>
      <x:c r="C534" t="str">
        <x:f>'Weekly Projections'!B116</x:f>
        <x:v>IND</x:v>
      </x:c>
      <x:c r="D534" t="str">
        <x:f>"FLEX"</x:f>
        <x:v>FLEX</x:v>
      </x:c>
      <x:c r="E534" t="n">
        <x:f>'Weekly Projections'!BA116</x:f>
        <x:v>8</x:v>
      </x:c>
      <x:c r="F534" t="n">
        <x:f>'Weekly Projections'!AW116</x:f>
        <x:v>2.314493927125506</x:v>
      </x:c>
    </x:row>
    <x:row r="535">
      <x:c r="A535" t="n">
        <x:f>212</x:f>
        <x:v>212</x:v>
      </x:c>
      <x:c r="B535" t="str">
        <x:f>'Weekly Projections'!A239</x:f>
        <x:v>Xavier Legette</x:v>
      </x:c>
      <x:c r="C535" t="str">
        <x:f>'Weekly Projections'!B239</x:f>
        <x:v>CAR</x:v>
      </x:c>
      <x:c r="D535" t="str">
        <x:f>"FLEX"</x:f>
        <x:v>FLEX</x:v>
      </x:c>
      <x:c r="E535" t="n">
        <x:f>'Weekly Projections'!BA239</x:f>
        <x:v>9</x:v>
      </x:c>
      <x:c r="F535" t="n">
        <x:f>'Weekly Projections'!AW239</x:f>
        <x:v>2.2704</x:v>
      </x:c>
    </x:row>
    <x:row r="536">
      <x:c r="A536" t="n">
        <x:f>213</x:f>
        <x:v>213</x:v>
      </x:c>
      <x:c r="B536" t="str">
        <x:f>'Weekly Projections'!A117</x:f>
        <x:v>Eli Heidenreich</x:v>
      </x:c>
      <x:c r="C536" t="str">
        <x:f>'Weekly Projections'!B117</x:f>
        <x:v>PIT</x:v>
      </x:c>
      <x:c r="D536" t="str">
        <x:f>"FLEX"</x:f>
        <x:v>FLEX</x:v>
      </x:c>
      <x:c r="E536" t="n">
        <x:f>'Weekly Projections'!BA117</x:f>
        <x:v>9</x:v>
      </x:c>
      <x:c r="F536" t="n">
        <x:f>'Weekly Projections'!AW117</x:f>
        <x:v>2.258001619433199</x:v>
      </x:c>
    </x:row>
    <x:row r="537">
      <x:c r="A537" t="n">
        <x:f>214</x:f>
        <x:v>214</x:v>
      </x:c>
      <x:c r="B537" t="str">
        <x:f>'Weekly Projections'!A118</x:f>
        <x:v>Brashard Smith</x:v>
      </x:c>
      <x:c r="C537" t="str">
        <x:f>'Weekly Projections'!B118</x:f>
        <x:v>KC</x:v>
      </x:c>
      <x:c r="D537" t="str">
        <x:f>"FLEX"</x:f>
        <x:v>FLEX</x:v>
      </x:c>
      <x:c r="E537" t="n">
        <x:f>'Weekly Projections'!BA118</x:f>
        <x:v>9</x:v>
      </x:c>
      <x:c r="F537" t="n">
        <x:f>'Weekly Projections'!AW118</x:f>
        <x:v>2.2331757085020247</x:v>
      </x:c>
    </x:row>
    <x:row r="538">
      <x:c r="A538" t="n">
        <x:f>215</x:f>
        <x:v>215</x:v>
      </x:c>
      <x:c r="B538" t="str">
        <x:f>'Weekly Projections'!A119</x:f>
        <x:v>Will Shipley</x:v>
      </x:c>
      <x:c r="C538" t="str">
        <x:f>'Weekly Projections'!B119</x:f>
        <x:v>PHI</x:v>
      </x:c>
      <x:c r="D538" t="str">
        <x:f>"FLEX"</x:f>
        <x:v>FLEX</x:v>
      </x:c>
      <x:c r="E538" t="n">
        <x:f>'Weekly Projections'!BA119</x:f>
        <x:v>9</x:v>
      </x:c>
      <x:c r="F538" t="n">
        <x:f>'Weekly Projections'!AW119</x:f>
        <x:v>2.194644534412956</x:v>
      </x:c>
    </x:row>
    <x:row r="539">
      <x:c r="A539" t="n">
        <x:f>216</x:f>
        <x:v>216</x:v>
      </x:c>
      <x:c r="B539" t="str">
        <x:f>'Weekly Projections'!A120</x:f>
        <x:v>Emari Demercado</x:v>
      </x:c>
      <x:c r="C539" t="str">
        <x:f>'Weekly Projections'!B120</x:f>
        <x:v>DAL</x:v>
      </x:c>
      <x:c r="D539" t="str">
        <x:f>"FLEX"</x:f>
        <x:v>FLEX</x:v>
      </x:c>
      <x:c r="E539" t="n">
        <x:f>'Weekly Projections'!BA120</x:f>
        <x:v>9</x:v>
      </x:c>
      <x:c r="F539" t="n">
        <x:f>'Weekly Projections'!AW120</x:f>
        <x:v>2.177085020242915</x:v>
      </x:c>
    </x:row>
    <x:row r="540">
      <x:c r="A540" t="n">
        <x:f>217</x:f>
        <x:v>217</x:v>
      </x:c>
      <x:c r="B540" t="str">
        <x:f>'Weekly Projections'!A121</x:f>
        <x:v>Isaiah Davis</x:v>
      </x:c>
      <x:c r="C540" t="str">
        <x:f>'Weekly Projections'!B121</x:f>
        <x:v>NYJ</x:v>
      </x:c>
      <x:c r="D540" t="str">
        <x:f>"FLEX"</x:f>
        <x:v>FLEX</x:v>
      </x:c>
      <x:c r="E540" t="n">
        <x:f>'Weekly Projections'!BA121</x:f>
        <x:v>9</x:v>
      </x:c>
      <x:c r="F540" t="n">
        <x:f>'Weekly Projections'!AW121</x:f>
        <x:v>2.141214574898786</x:v>
      </x:c>
    </x:row>
    <x:row r="541">
      <x:c r="A541" t="n">
        <x:f>218</x:f>
        <x:v>218</x:v>
      </x:c>
      <x:c r="B541" t="str">
        <x:f>'Weekly Projections'!A122</x:f>
        <x:v>Jaydon Blue</x:v>
      </x:c>
      <x:c r="C541" t="str">
        <x:f>'Weekly Projections'!B122</x:f>
        <x:v>PHI</x:v>
      </x:c>
      <x:c r="D541" t="str">
        <x:f>"FLEX"</x:f>
        <x:v>FLEX</x:v>
      </x:c>
      <x:c r="E541" t="n">
        <x:f>'Weekly Projections'!BA122</x:f>
        <x:v>9</x:v>
      </x:c>
      <x:c r="F541" t="n">
        <x:f>'Weekly Projections'!AW122</x:f>
        <x:v>2.0901376518218626</x:v>
      </x:c>
    </x:row>
    <x:row r="542">
      <x:c r="A542" t="n">
        <x:f>219</x:f>
        <x:v>219</x:v>
      </x:c>
      <x:c r="B542" t="str">
        <x:f>'Weekly Projections'!A123</x:f>
        <x:v>Raheim Sanders</x:v>
      </x:c>
      <x:c r="C542" t="str">
        <x:f>'Weekly Projections'!B123</x:f>
        <x:v>CLE</x:v>
      </x:c>
      <x:c r="D542" t="str">
        <x:f>"FLEX"</x:f>
        <x:v>FLEX</x:v>
      </x:c>
      <x:c r="E542" t="n">
        <x:f>'Weekly Projections'!BA123</x:f>
        <x:v>9</x:v>
      </x:c>
      <x:c r="F542" t="n">
        <x:f>'Weekly Projections'!AW123</x:f>
        <x:v>2.0675141700404858</x:v>
      </x:c>
    </x:row>
    <x:row r="543">
      <x:c r="A543" t="n">
        <x:f>220</x:f>
        <x:v>220</x:v>
      </x:c>
      <x:c r="B543" t="str">
        <x:f>'Weekly Projections'!A125</x:f>
        <x:v>Audric Estime</x:v>
      </x:c>
      <x:c r="C543" t="str">
        <x:f>'Weekly Projections'!B125</x:f>
        <x:v>NO</x:v>
      </x:c>
      <x:c r="D543" t="str">
        <x:f>"FLEX"</x:f>
        <x:v>FLEX</x:v>
      </x:c>
      <x:c r="E543" t="n">
        <x:f>'Weekly Projections'!BA125</x:f>
        <x:v>9</x:v>
      </x:c>
      <x:c r="F543" t="n">
        <x:f>'Weekly Projections'!AW125</x:f>
        <x:v>1.982186234817814</x:v>
      </x:c>
    </x:row>
    <x:row r="544">
      <x:c r="A544" t="n">
        <x:f>221</x:f>
        <x:v>221</x:v>
      </x:c>
      <x:c r="B544" t="str">
        <x:f>'Weekly Projections'!A126</x:f>
        <x:v>Jawhar Jordan</x:v>
      </x:c>
      <x:c r="C544" t="str">
        <x:f>'Weekly Projections'!B126</x:f>
        <x:v>HOU</x:v>
      </x:c>
      <x:c r="D544" t="str">
        <x:f>"FLEX"</x:f>
        <x:v>FLEX</x:v>
      </x:c>
      <x:c r="E544" t="n">
        <x:f>'Weekly Projections'!BA126</x:f>
        <x:v>9</x:v>
      </x:c>
      <x:c r="F544" t="n">
        <x:f>'Weekly Projections'!AW126</x:f>
        <x:v>1.982186234817814</x:v>
      </x:c>
    </x:row>
    <x:row r="545">
      <x:c r="A545" t="n">
        <x:f>222</x:f>
        <x:v>222</x:v>
      </x:c>
      <x:c r="B545" t="str">
        <x:f>'Weekly Projections'!A127</x:f>
        <x:v>Tahj Brooks</x:v>
      </x:c>
      <x:c r="C545" t="str">
        <x:f>'Weekly Projections'!B127</x:f>
        <x:v>CIN</x:v>
      </x:c>
      <x:c r="D545" t="str">
        <x:f>"FLEX"</x:f>
        <x:v>FLEX</x:v>
      </x:c>
      <x:c r="E545" t="n">
        <x:f>'Weekly Projections'!BA127</x:f>
        <x:v>10</x:v>
      </x:c>
      <x:c r="F545" t="n">
        <x:f>'Weekly Projections'!AW127</x:f>
        <x:v>1.9818299595141704</x:v>
      </x:c>
    </x:row>
    <x:row r="546">
      <x:c r="A546" t="n">
        <x:f>223</x:f>
        <x:v>223</x:v>
      </x:c>
      <x:c r="B546" t="str">
        <x:f>'Weekly Projections'!A128</x:f>
        <x:v>Trevor Etienne</x:v>
      </x:c>
      <x:c r="C546" t="str">
        <x:f>'Weekly Projections'!B128</x:f>
        <x:v>CAR</x:v>
      </x:c>
      <x:c r="D546" t="str">
        <x:f>"FLEX"</x:f>
        <x:v>FLEX</x:v>
      </x:c>
      <x:c r="E546" t="n">
        <x:f>'Weekly Projections'!BA128</x:f>
        <x:v>10</x:v>
      </x:c>
      <x:c r="F546" t="n">
        <x:f>'Weekly Projections'!AW128</x:f>
        <x:v>1.9294574898785426</x:v>
      </x:c>
    </x:row>
    <x:row r="547">
      <x:c r="A547" t="n">
        <x:f>224</x:f>
        <x:v>224</x:v>
      </x:c>
      <x:c r="B547" t="str">
        <x:f>'Weekly Projections'!A129</x:f>
        <x:v>Bam Knight</x:v>
      </x:c>
      <x:c r="C547" t="str">
        <x:f>'Weekly Projections'!B129</x:f>
        <x:v>ARI</x:v>
      </x:c>
      <x:c r="D547" t="str">
        <x:f>"FLEX"</x:f>
        <x:v>FLEX</x:v>
      </x:c>
      <x:c r="E547" t="n">
        <x:f>'Weekly Projections'!BA129</x:f>
        <x:v>10</x:v>
      </x:c>
      <x:c r="F547" t="n">
        <x:f>'Weekly Projections'!AW129</x:f>
        <x:v>1.8931174089068825</x:v>
      </x:c>
    </x:row>
    <x:row r="548">
      <x:c r="A548" t="n">
        <x:f>225</x:f>
        <x:v>225</x:v>
      </x:c>
      <x:c r="B548" t="str">
        <x:f>'Weekly Projections'!A131</x:f>
        <x:v>Jarquez Hunter</x:v>
      </x:c>
      <x:c r="C548" t="str">
        <x:f>'Weekly Projections'!B131</x:f>
        <x:v>MIA</x:v>
      </x:c>
      <x:c r="D548" t="str">
        <x:f>"FLEX"</x:f>
        <x:v>FLEX</x:v>
      </x:c>
      <x:c r="E548" t="n">
        <x:f>'Weekly Projections'!BA131</x:f>
        <x:v>10</x:v>
      </x:c>
      <x:c r="F548" t="n">
        <x:f>'Weekly Projections'!AW131</x:f>
        <x:v>1.8774412955465587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8" hidden="0" customWidth="1"/>
    <x:col min="3" max="3" width="14" hidden="0" customWidth="1"/>
    <x:col min="4" max="4" width="12" hidden="0" customWidth="1"/>
    <x:col min="5" max="5" width="10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42" hidden="0" customWidth="1"/>
    <x:col min="11" max="11" width="48" hidden="0" customWidth="1"/>
    <x:col min="12" max="12" width="22" hidden="0" customWidth="1"/>
  </x:cols>
  <x:sheetData>
    <x:row r="1" ht="24" customHeight="1">
      <x:c r="A1" s="27" t="str">
        <x:v>THURSDAY WEEK 3 CHANGE LOG</x:v>
      </x:c>
      <x:c r="B1" s="27"/>
      <x:c r="C1" s="27"/>
      <x:c r="D1" s="27"/>
      <x:c r="E1" s="27"/>
      <x:c r="F1" s="27"/>
      <x:c r="G1" s="27"/>
      <x:c r="H1" s="27"/>
      <x:c r="I1" s="27"/>
      <x:c r="J1" s="27"/>
      <x:c r="K1" s="27"/>
      <x:c r="L1" s="27"/>
    </x:row>
    <x:row r="2" ht="24" customHeight="1">
      <x:c r="A2" t="str">
        <x:v>Comparison: Wednesday initial board · 2026-09-23 10:35 AM CT</x:v>
      </x:c>
      <x:c r="B2"/>
      <x:c r="C2"/>
      <x:c r="D2"/>
      <x:c r="E2"/>
      <x:c r="F2"/>
      <x:c r="G2"/>
      <x:c r="H2"/>
      <x:c r="I2"/>
      <x:c r="J2"/>
      <x:c r="K2"/>
      <x:c r="L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</x:row>
    <x:row r="4" ht="30" customHeight="1">
      <x:c r="A4" s="30" t="str">
        <x:v>Player</x:v>
      </x:c>
      <x:c r="B4" s="30" t="str">
        <x:v>Pos</x:v>
      </x:c>
      <x:c r="C4" s="30" t="str">
        <x:v>Previous Rank</x:v>
      </x:c>
      <x:c r="D4" s="30" t="str">
        <x:v>New Rank</x:v>
      </x:c>
      <x:c r="E4" s="30" t="str">
        <x:v>Direction</x:v>
      </x:c>
      <x:c r="F4" s="30" t="str">
        <x:v>Old Pts</x:v>
      </x:c>
      <x:c r="G4" s="30" t="str">
        <x:v>New Pts</x:v>
      </x:c>
      <x:c r="H4" s="30" t="str">
        <x:v>Point Effect</x:v>
      </x:c>
      <x:c r="I4" s="30" t="str">
        <x:v>Status</x:v>
      </x:c>
      <x:c r="J4" s="30" t="str">
        <x:v>Reason</x:v>
      </x:c>
      <x:c r="K4" s="30" t="str">
        <x:v>Source / Evidence</x:v>
      </x:c>
      <x:c r="L4" s="30" t="str">
        <x:v>Timestamp</x:v>
      </x:c>
    </x:row>
    <x:row r="5" ht="56" customHeight="1">
      <x:c r="A5" s="34" t="str">
        <x:v>Jayden Reed</x:v>
      </x:c>
      <x:c r="B5" s="34" t="str">
        <x:v>WR</x:v>
      </x:c>
      <x:c r="C5" s="34" t="n">
        <x:v>36</x:v>
      </x:c>
      <x:c r="D5" s="34" t="str">
        <x:v>OUT</x:v>
      </x:c>
      <x:c r="E5" s="34" t="str">
        <x:v>↓</x:v>
      </x:c>
      <x:c r="F5" s="35" t="n">
        <x:v>8.125217391304348</x:v>
      </x:c>
      <x:c r="G5" s="35" t="n">
        <x:v>0</x:v>
      </x:c>
      <x:c r="H5" s="35" t="n">
        <x:v>-8.125217391304348</x:v>
      </x:c>
      <x:c r="I5" s="34" t="str">
        <x:v>OUT</x:v>
      </x:c>
      <x:c r="J5" s="34" t="str">
        <x:v>Conditional active line retained for audit; probability-weighted Week 3 projection is zero. Vacated 24 routes and 5.4 targets reallocated across direct and secondary beneficiaries.</x:v>
      </x:c>
      <x:c r="K5" s="34" t="str">
        <x:v>NFL/Packers final report: neck injury; ruled out Week 3; https://www.nfl.com/injuries/</x:v>
      </x:c>
      <x:c r="L5" s="34" t="str">
        <x:v>2026-09-24 1:18 PM CT</x:v>
      </x:c>
    </x:row>
    <x:row r="6" ht="56" customHeight="1">
      <x:c r="A6" s="36" t="str">
        <x:v>Matthew Golden</x:v>
      </x:c>
      <x:c r="B6" s="36" t="str">
        <x:v>WR</x:v>
      </x:c>
      <x:c r="C6" s="36" t="n">
        <x:v>28</x:v>
      </x:c>
      <x:c r="D6" s="36" t="n">
        <x:v>7</x:v>
      </x:c>
      <x:c r="E6" s="36" t="str">
        <x:v>↑</x:v>
      </x:c>
      <x:c r="F6" s="37" t="n">
        <x:v>9.03930434782609</x:v>
      </x:c>
      <x:c r="G6" s="37" t="n">
        <x:v>12.226318840579712</x:v>
      </x:c>
      <x:c r="H6" s="37" t="n">
        <x:v>3.1870144927536224</x:v>
      </x:c>
      <x:c r="I6" s="36" t="str">
        <x:v>ACTIVE</x:v>
      </x:c>
      <x:c r="J6" s="36" t="str">
        <x:v>Receives the largest projected share of Reed’s vacated routes and targets; matchup efficiency unchanged.</x:v>
      </x:c>
      <x:c r="K6" s="36" t="str">
        <x:v>Packers final Week 3 report: Jayden Reed (neck) out; https://www.packers.com/team/injury-report/</x:v>
      </x:c>
      <x:c r="L6" s="36" t="str">
        <x:v>2026-09-24 1:18 PM CT</x:v>
      </x:c>
    </x:row>
    <x:row r="7" ht="56" customHeight="1">
      <x:c r="A7" s="36" t="str">
        <x:v>Christian Watson</x:v>
      </x:c>
      <x:c r="B7" s="36" t="str">
        <x:v>WR</x:v>
      </x:c>
      <x:c r="C7" s="36" t="n">
        <x:v>19</x:v>
      </x:c>
      <x:c r="D7" s="36" t="n">
        <x:v>11</x:v>
      </x:c>
      <x:c r="E7" s="36" t="str">
        <x:v>↑</x:v>
      </x:c>
      <x:c r="F7" s="37" t="n">
        <x:v>9.953391304347827</x:v>
      </x:c>
      <x:c r="G7" s="37" t="n">
        <x:v>11.546898550724638</x:v>
      </x:c>
      <x:c r="H7" s="37" t="n">
        <x:v>1.5935072463768112</x:v>
      </x:c>
      <x:c r="I7" s="36" t="str">
        <x:v>ACTIVE</x:v>
      </x:c>
      <x:c r="J7" s="36" t="str">
        <x:v>Primary perimeter role plus 20% of Reed’s vacated target projection; no weather downgrade.</x:v>
      </x:c>
      <x:c r="K7" s="36" t="str">
        <x:v>Packers final Week 3 report: Jayden Reed (neck) out; https://www.packers.com/team/injury-report/</x:v>
      </x:c>
      <x:c r="L7" s="36" t="str">
        <x:v>2026-09-24 1:18 PM CT</x:v>
      </x:c>
    </x:row>
    <x:row r="8" ht="56" customHeight="1">
      <x:c r="A8" s="36" t="str">
        <x:v>Tucker Kraft</x:v>
      </x:c>
      <x:c r="B8" s="36" t="str">
        <x:v>TE</x:v>
      </x:c>
      <x:c r="C8" s="36" t="n">
        <x:v>11</x:v>
      </x:c>
      <x:c r="D8" s="36" t="n">
        <x:v>5</x:v>
      </x:c>
      <x:c r="E8" s="36" t="str">
        <x:v>↑</x:v>
      </x:c>
      <x:c r="F8" s="37" t="n">
        <x:v>8.529059602649008</x:v>
      </x:c>
      <x:c r="G8" s="37" t="n">
        <x:v>9.773395834533066</x:v>
      </x:c>
      <x:c r="H8" s="37" t="n">
        <x:v>1.2443362318840574</x:v>
      </x:c>
      <x:c r="I8" s="36" t="str">
        <x:v>ACTIVE</x:v>
      </x:c>
      <x:c r="J8" s="36" t="str">
        <x:v>Expanded middle-of-field and two-minute route projection after Reed was ruled out.</x:v>
      </x:c>
      <x:c r="K8" s="36" t="str">
        <x:v>Packers final Week 3 report: Jayden Reed (neck) out; https://www.packers.com/team/injury-report/</x:v>
      </x:c>
      <x:c r="L8" s="36" t="str">
        <x:v>2026-09-24 1:18 PM CT</x:v>
      </x:c>
    </x:row>
    <x:row r="9" ht="56" customHeight="1">
      <x:c r="A9" s="38" t="str">
        <x:v>MarShawn Lloyd</x:v>
      </x:c>
      <x:c r="B9" s="38" t="str">
        <x:v>RB</x:v>
      </x:c>
      <x:c r="C9" s="38" t="n">
        <x:v>35</x:v>
      </x:c>
      <x:c r="D9" s="38" t="n">
        <x:v>31</x:v>
      </x:c>
      <x:c r="E9" s="38" t="str">
        <x:v>↑</x:v>
      </x:c>
      <x:c r="F9" s="39" t="n">
        <x:v>7.445016194331985</x:v>
      </x:c>
      <x:c r="G9" s="39" t="n">
        <x:v>8.034172368245027</x:v>
      </x:c>
      <x:c r="H9" s="39" t="n">
        <x:v>0.5891561739130422</x:v>
      </x:c>
      <x:c r="I9" s="38" t="str">
        <x:v>ACTIVE</x:v>
      </x:c>
      <x:c r="J9" s="38" t="str">
        <x:v>Small receiving-share increase; early-down role unchanged.</x:v>
      </x:c>
      <x:c r="K9" s="38" t="str">
        <x:v>Packers final Week 3 report: Jayden Reed (neck) out; https://www.packers.com/team/injury-report/</x:v>
      </x:c>
      <x:c r="L9" s="38" t="str">
        <x:v>2026-09-24 1:18 PM CT</x:v>
      </x:c>
    </x:row>
    <x:row r="10" ht="56" customHeight="1">
      <x:c r="A10" s="38" t="str">
        <x:v>Jordan Love</x:v>
      </x:c>
      <x:c r="B10" s="38" t="str">
        <x:v>QB</x:v>
      </x:c>
      <x:c r="C10" s="38" t="n">
        <x:v>10</x:v>
      </x:c>
      <x:c r="D10" s="38" t="n">
        <x:v>10</x:v>
      </x:c>
      <x:c r="E10" s="38" t="str">
        <x:v>→</x:v>
      </x:c>
      <x:c r="F10" s="39" t="n">
        <x:v>16.65149720670391</x:v>
      </x:c>
      <x:c r="G10" s="39" t="n">
        <x:v>16.208792849162013</x:v>
      </x:c>
      <x:c r="H10" s="39" t="n">
        <x:v>-0.4427043575418992</x:v>
      </x:c>
      <x:c r="I10" s="38" t="str">
        <x:v>ACTIVE</x:v>
      </x:c>
      <x:c r="J10" s="38" t="str">
        <x:v>Modest protection/efficiency discount applied to passing yards, touchdowns and interception risk; Reed redistribution changes target destinations, not team pass volume.</x:v>
      </x:c>
      <x:c r="K10" s="38" t="str">
        <x:v>Packers final report: starting G Aaron Banks (knee/toe) out; https://www.packers.com/team/injury-report/</x:v>
      </x:c>
      <x:c r="L10" s="38" t="str">
        <x:v>2026-09-24 1:18 PM CT</x:v>
      </x:c>
    </x:row>
    <x:row r="11" ht="56" customHeight="1">
      <x:c r="A11" s="38" t="str">
        <x:v>Michael Penix Jr.</x:v>
      </x:c>
      <x:c r="B11" s="38" t="str">
        <x:v>QB</x:v>
      </x:c>
      <x:c r="C11" s="38" t="n">
        <x:v>20</x:v>
      </x:c>
      <x:c r="D11" s="38" t="n">
        <x:v>20</x:v>
      </x:c>
      <x:c r="E11" s="38" t="str">
        <x:v>→</x:v>
      </x:c>
      <x:c r="F11" s="39" t="n">
        <x:v>14.593700898324023</x:v>
      </x:c>
      <x:c r="G11" s="39" t="n">
        <x:v>14.593700898324023</x:v>
      </x:c>
      <x:c r="H11" s="39" t="n">
        <x:v>0</x:v>
      </x:c>
      <x:c r="I11" s="38" t="str">
        <x:v>ACTIVE</x:v>
      </x:c>
      <x:c r="J11" s="38" t="str">
        <x:v>Starter confirmation restores the full game projection; modest efficiency discount remains after ACL return.</x:v>
      </x:c>
      <x:c r="K11" s="38" t="str">
        <x:v>Atlanta Falcons, Sep. 23: Penix named Week 3 starter</x:v>
      </x:c>
      <x:c r="L11" s="38" t="str">
        <x:v>2026-09-24 1:18 PM CT</x:v>
      </x:c>
    </x:row>
    <x:row r="12" ht="56" customHeight="1">
      <x:c r="A12" s="34" t="str">
        <x:v>Jordan Mason</x:v>
      </x:c>
      <x:c r="B12" s="34" t="str">
        <x:v>RB</x:v>
      </x:c>
      <x:c r="C12" s="34" t="n">
        <x:v>48</x:v>
      </x:c>
      <x:c r="D12" s="34" t="str">
        <x:v>OUT</x:v>
      </x:c>
      <x:c r="E12" s="34" t="str">
        <x:v>↓</x:v>
      </x:c>
      <x:c r="F12" s="35" t="n">
        <x:v>5.897004048582996</x:v>
      </x:c>
      <x:c r="G12" s="35" t="n">
        <x:v>0</x:v>
      </x:c>
      <x:c r="H12" s="35" t="n">
        <x:v>-5.897004048582996</x:v>
      </x:c>
      <x:c r="I12" s="34" t="str">
        <x:v>IR</x:v>
      </x:c>
      <x:c r="J12" s="34" t="str">
        <x:v>Minnesota placed Mason on injured reserve after thumb surgery. Conditional inputs remain visible for audit; expected Week 3 points are zero.</x:v>
      </x:c>
      <x:c r="K12" s="34" t="str">
        <x:v>https://www.vikings.com/news/jordan-mason-injured-reserve-deejay-dallas-signing-2026</x:v>
      </x:c>
      <x:c r="L12" s="34" t="str">
        <x:v>2026-09-24 1:18 PM CT</x:v>
      </x:c>
    </x:row>
    <x:row r="13" ht="56" customHeight="1">
      <x:c r="A13" s="34" t="str">
        <x:v>Isiah Pacheco</x:v>
      </x:c>
      <x:c r="B13" s="34" t="str">
        <x:v>RB</x:v>
      </x:c>
      <x:c r="C13" s="34" t="n">
        <x:v>97</x:v>
      </x:c>
      <x:c r="D13" s="34" t="str">
        <x:v>OUT</x:v>
      </x:c>
      <x:c r="E13" s="34" t="str">
        <x:v>↓</x:v>
      </x:c>
      <x:c r="F13" s="35" t="n">
        <x:v>1.2085438596491227</x:v>
      </x:c>
      <x:c r="G13" s="35" t="n">
        <x:v>0</x:v>
      </x:c>
      <x:c r="H13" s="35" t="n">
        <x:v>-1.2085438596491227</x:v>
      </x:c>
      <x:c r="I13" s="34" t="str">
        <x:v>IR</x:v>
      </x:c>
      <x:c r="J13" s="34" t="str">
        <x:v>Kansas City placed Pacheco on injured reserve; he is unavailable for Week 3. Conditional inputs remain visible for audit; expected Week 3 points are zero.</x:v>
      </x:c>
      <x:c r="K13" s="34" t="str">
        <x:v>https://www.nbcsports.com/fantasy/football/news/2026-nfl-week-3-injury-report-jaxson-dart-mcl-chargers-down-two-tes-more-49ers-injuries</x:v>
      </x:c>
      <x:c r="L13" s="34" t="str">
        <x:v>2026-09-24 1:18 PM CT</x:v>
      </x:c>
    </x:row>
    <x:row r="14" ht="56" customHeight="1">
      <x:c r="A14" s="34" t="str">
        <x:v>Zach Charbonnet</x:v>
      </x:c>
      <x:c r="B14" s="34" t="str">
        <x:v>RB</x:v>
      </x:c>
      <x:c r="C14" s="34" t="n">
        <x:v>74</x:v>
      </x:c>
      <x:c r="D14" s="34" t="str">
        <x:v>OUT</x:v>
      </x:c>
      <x:c r="E14" s="34" t="str">
        <x:v>↓</x:v>
      </x:c>
      <x:c r="F14" s="35" t="n">
        <x:v>2.8466666666666667</x:v>
      </x:c>
      <x:c r="G14" s="35" t="n">
        <x:v>0</x:v>
      </x:c>
      <x:c r="H14" s="35" t="n">
        <x:v>-2.8466666666666667</x:v>
      </x:c>
      <x:c r="I14" s="34" t="str">
        <x:v>PUP</x:v>
      </x:c>
      <x:c r="J14" s="34" t="str">
        <x:v>Seattle placed Charbonnet on reserve/PUP; he is unavailable for Week 3. Conditional inputs remain visible for audit; expected Week 3 points are zero.</x:v>
      </x:c>
      <x:c r="K14" s="34" t="str">
        <x:v>https://www.nbcsports.com/fantasy/football/news/2026-nfl-week-3-injury-report-jaxson-dart-mcl-chargers-down-two-tes-more-49ers-injuries</x:v>
      </x:c>
      <x:c r="L14" s="34" t="str">
        <x:v>2026-09-24 1:18 PM CT</x:v>
      </x:c>
    </x:row>
    <x:row r="15" ht="56" customHeight="1">
      <x:c r="A15" s="34" t="str">
        <x:v>Dylan Sampson</x:v>
      </x:c>
      <x:c r="B15" s="34" t="str">
        <x:v>RB</x:v>
      </x:c>
      <x:c r="C15" s="34" t="n">
        <x:v>70</x:v>
      </x:c>
      <x:c r="D15" s="34" t="str">
        <x:v>OUT</x:v>
      </x:c>
      <x:c r="E15" s="34" t="str">
        <x:v>↓</x:v>
      </x:c>
      <x:c r="F15" s="35" t="n">
        <x:v>3.0392458299595146</x:v>
      </x:c>
      <x:c r="G15" s="35" t="n">
        <x:v>0</x:v>
      </x:c>
      <x:c r="H15" s="35" t="n">
        <x:v>-3.0392458299595146</x:v>
      </x:c>
      <x:c r="I15" s="34" t="str">
        <x:v>IR</x:v>
      </x:c>
      <x:c r="J15" s="34" t="str">
        <x:v>Cleveland placed Sampson on injured reserve; he is unavailable for Week 3. Conditional inputs remain visible for audit; expected Week 3 points are zero.</x:v>
      </x:c>
      <x:c r="K15" s="34" t="str">
        <x:v>https://www.nbcsports.com/fantasy/football/news/2026-nfl-week-3-injury-report-jaxson-dart-mcl-chargers-down-two-tes-more-49ers-injuries</x:v>
      </x:c>
      <x:c r="L15" s="34" t="str">
        <x:v>2026-09-24 1:18 PM CT</x:v>
      </x:c>
    </x:row>
    <x:row r="16" ht="56" customHeight="1">
      <x:c r="A16" s="34" t="str">
        <x:v>Jonathon Brooks</x:v>
      </x:c>
      <x:c r="B16" s="34" t="str">
        <x:v>RB</x:v>
      </x:c>
      <x:c r="C16" s="34" t="n">
        <x:v>37</x:v>
      </x:c>
      <x:c r="D16" s="34" t="str">
        <x:v>OUT</x:v>
      </x:c>
      <x:c r="E16" s="34" t="str">
        <x:v>↓</x:v>
      </x:c>
      <x:c r="F16" s="35" t="n">
        <x:v>7.042519838056681</x:v>
      </x:c>
      <x:c r="G16" s="35" t="n">
        <x:v>0</x:v>
      </x:c>
      <x:c r="H16" s="35" t="n">
        <x:v>-7.042519838056681</x:v>
      </x:c>
      <x:c r="I16" s="34" t="str">
        <x:v>IR</x:v>
      </x:c>
      <x:c r="J16" s="34" t="str">
        <x:v>Carolina placed Brooks on injured reserve. Conditional inputs remain visible for audit; expected Week 3 points are zero.</x:v>
      </x:c>
      <x:c r="K16" s="34" t="str">
        <x:v>https://www.panthers.com/news/jonathon-brooks-placed-on-injured-reserve-signed-isaiah-simmons</x:v>
      </x:c>
      <x:c r="L16" s="34" t="str">
        <x:v>2026-09-24 1:18 PM CT</x:v>
      </x:c>
    </x:row>
    <x:row r="17" ht="56" customHeight="1">
      <x:c r="A17" s="34" t="str">
        <x:v>A.J. Brown</x:v>
      </x:c>
      <x:c r="B17" s="34" t="str">
        <x:v>WR</x:v>
      </x:c>
      <x:c r="C17" s="34" t="n">
        <x:v>52</x:v>
      </x:c>
      <x:c r="D17" s="34" t="str">
        <x:v>OUT</x:v>
      </x:c>
      <x:c r="E17" s="34" t="str">
        <x:v>↓</x:v>
      </x:c>
      <x:c r="F17" s="35" t="n">
        <x:v>6.0647675362318845</x:v>
      </x:c>
      <x:c r="G17" s="35" t="n">
        <x:v>0</x:v>
      </x:c>
      <x:c r="H17" s="35" t="n">
        <x:v>-6.0647675362318845</x:v>
      </x:c>
      <x:c r="I17" s="34" t="str">
        <x:v>IR</x:v>
      </x:c>
      <x:c r="J17" s="34" t="str">
        <x:v>New England placed Brown on injured reserve. Conditional inputs remain visible for audit; expected Week 3 points are zero.</x:v>
      </x:c>
      <x:c r="K17" s="34" t="str">
        <x:v>https://www.patriots.com/news/patriots-sign-veteran-dt-daquan-jones-and-place-wr-a-j-brown-on-ir</x:v>
      </x:c>
      <x:c r="L17" s="34" t="str">
        <x:v>2026-09-24 1:18 PM CT</x:v>
      </x:c>
    </x:row>
    <x:row r="18" ht="56" customHeight="1">
      <x:c r="A18" s="34" t="str">
        <x:v>Jordyn Tyson</x:v>
      </x:c>
      <x:c r="B18" s="34" t="str">
        <x:v>WR</x:v>
      </x:c>
      <x:c r="C18" s="34" t="n">
        <x:v>94</x:v>
      </x:c>
      <x:c r="D18" s="34" t="str">
        <x:v>OUT</x:v>
      </x:c>
      <x:c r="E18" s="34" t="str">
        <x:v>↓</x:v>
      </x:c>
      <x:c r="F18" s="35" t="n">
        <x:v>3.2411014492753627</x:v>
      </x:c>
      <x:c r="G18" s="35" t="n">
        <x:v>0</x:v>
      </x:c>
      <x:c r="H18" s="35" t="n">
        <x:v>-3.2411014492753627</x:v>
      </x:c>
      <x:c r="I18" s="34" t="str">
        <x:v>IR</x:v>
      </x:c>
      <x:c r="J18" s="34" t="str">
        <x:v>Denver placed Tyson on injured reserve; he is unavailable for Week 3. Conditional inputs remain visible for audit; expected Week 3 points are zero.</x:v>
      </x:c>
      <x:c r="K18" s="34" t="str">
        <x:v>https://www.nbcsports.com/fantasy/football/news/2026-nfl-week-3-injury-report-jaxson-dart-mcl-chargers-down-two-tes-more-49ers-injuries</x:v>
      </x:c>
      <x:c r="L18" s="34" t="str">
        <x:v>2026-09-24 1:18 PM CT</x:v>
      </x:c>
    </x:row>
    <x:row r="19" ht="56" customHeight="1">
      <x:c r="A19" s="34" t="str">
        <x:v>Tank Dell</x:v>
      </x:c>
      <x:c r="B19" s="34" t="str">
        <x:v>WR</x:v>
      </x:c>
      <x:c r="C19" s="34" t="n">
        <x:v>56</x:v>
      </x:c>
      <x:c r="D19" s="34" t="str">
        <x:v>OUT</x:v>
      </x:c>
      <x:c r="E19" s="34" t="str">
        <x:v>↓</x:v>
      </x:c>
      <x:c r="F19" s="35" t="n">
        <x:v>5.9909626086956544</x:v>
      </x:c>
      <x:c r="G19" s="35" t="n">
        <x:v>0</x:v>
      </x:c>
      <x:c r="H19" s="35" t="n">
        <x:v>-5.9909626086956544</x:v>
      </x:c>
      <x:c r="I19" s="34" t="str">
        <x:v>IR</x:v>
      </x:c>
      <x:c r="J19" s="34" t="str">
        <x:v>Houston placed Dell on injured reserve; he is unavailable for Week 3. Conditional inputs remain visible for audit; expected Week 3 points are zero.</x:v>
      </x:c>
      <x:c r="K19" s="34" t="str">
        <x:v>https://www.nbcsports.com/fantasy/football/news/2026-nfl-week-3-injury-report-jaxson-dart-mcl-chargers-down-two-tes-more-49ers-injuries</x:v>
      </x:c>
      <x:c r="L19" s="34" t="str">
        <x:v>2026-09-24 1:18 PM CT</x:v>
      </x:c>
    </x:row>
    <x:row r="20" ht="56" customHeight="1">
      <x:c r="A20" s="34" t="str">
        <x:v>Ja'Kobi Lane</x:v>
      </x:c>
      <x:c r="B20" s="34" t="str">
        <x:v>WR</x:v>
      </x:c>
      <x:c r="C20" s="34" t="n">
        <x:v>98</x:v>
      </x:c>
      <x:c r="D20" s="34" t="str">
        <x:v>OUT</x:v>
      </x:c>
      <x:c r="E20" s="34" t="str">
        <x:v>↓</x:v>
      </x:c>
      <x:c r="F20" s="35" t="n">
        <x:v>2.908693333333334</x:v>
      </x:c>
      <x:c r="G20" s="35" t="n">
        <x:v>0</x:v>
      </x:c>
      <x:c r="H20" s="35" t="n">
        <x:v>-2.908693333333334</x:v>
      </x:c>
      <x:c r="I20" s="34" t="str">
        <x:v>IR</x:v>
      </x:c>
      <x:c r="J20" s="34" t="str">
        <x:v>Philadelphia placed Lane on injured reserve; he is unavailable for Week 3. Conditional inputs remain visible for audit; expected Week 3 points are zero.</x:v>
      </x:c>
      <x:c r="K20" s="34" t="str">
        <x:v>https://www.nbcsports.com/fantasy/football/news/2026-nfl-week-3-injury-report-jaxson-dart-mcl-chargers-down-two-tes-more-49ers-injuries</x:v>
      </x:c>
      <x:c r="L20" s="34" t="str">
        <x:v>2026-09-24 1:18 PM CT</x:v>
      </x:c>
    </x:row>
    <x:row r="21" ht="56" customHeight="1">
      <x:c r="A21" s="34" t="str">
        <x:v>De'Zhaun Stribling</x:v>
      </x:c>
      <x:c r="B21" s="34" t="str">
        <x:v>WR</x:v>
      </x:c>
      <x:c r="C21" s="34" t="n">
        <x:v>106</x:v>
      </x:c>
      <x:c r="D21" s="34" t="str">
        <x:v>OUT</x:v>
      </x:c>
      <x:c r="E21" s="34" t="str">
        <x:v>↓</x:v>
      </x:c>
      <x:c r="F21" s="35" t="n">
        <x:v>1.079976811594203</x:v>
      </x:c>
      <x:c r="G21" s="35" t="n">
        <x:v>0</x:v>
      </x:c>
      <x:c r="H21" s="35" t="n">
        <x:v>-1.079976811594203</x:v>
      </x:c>
      <x:c r="I21" s="34" t="str">
        <x:v>IR</x:v>
      </x:c>
      <x:c r="J21" s="34" t="str">
        <x:v>Houston placed Stribling on injured reserve; he is unavailable for Week 3. Conditional inputs remain visible for audit; expected Week 3 points are zero.</x:v>
      </x:c>
      <x:c r="K21" s="34" t="str">
        <x:v>https://www.nbcsports.com/fantasy/football/news/2026-nfl-week-3-injury-report-jaxson-dart-mcl-chargers-down-two-tes-more-49ers-injuries</x:v>
      </x:c>
      <x:c r="L21" s="34" t="str">
        <x:v>2026-09-24 1:18 PM CT</x:v>
      </x:c>
    </x:row>
    <x:row r="22" ht="56" customHeight="1">
      <x:c r="A22" s="34" t="str">
        <x:v>Isaac Guerendo</x:v>
      </x:c>
      <x:c r="B22" s="34" t="str">
        <x:v>RB</x:v>
      </x:c>
      <x:c r="C22" s="34" t="n">
        <x:v>96</x:v>
      </x:c>
      <x:c r="D22" s="34" t="str">
        <x:v>OUT</x:v>
      </x:c>
      <x:c r="E22" s="34" t="str">
        <x:v>↓</x:v>
      </x:c>
      <x:c r="F22" s="35" t="n">
        <x:v>1.6285020242914983</x:v>
      </x:c>
      <x:c r="G22" s="35" t="n">
        <x:v>0</x:v>
      </x:c>
      <x:c r="H22" s="35" t="n">
        <x:v>-1.6285020242914983</x:v>
      </x:c>
      <x:c r="I22" s="34" t="str">
        <x:v>PUP</x:v>
      </x:c>
      <x:c r="J22" s="34" t="str">
        <x:v>San Francisco opened the season with Guerendo on reserve/PUP; he is unavailable for Week 3. Conditional inputs remain visible for audit; expected Week 3 points are zero.</x:v>
      </x:c>
      <x:c r="K22" s="34" t="str">
        <x:v>https://www.ninersnation.com/san-francisco-49ers-injuries/161922/isaac-guerendo-to-begin-the-season-on-the-reserve-pup</x:v>
      </x:c>
      <x:c r="L22" s="34" t="str">
        <x:v>2026-09-24 1:18 PM CT</x:v>
      </x:c>
    </x:row>
    <x:row r="23" ht="56" customHeight="1">
      <x:c r="A23" s="34" t="str">
        <x:v>Trey Benson</x:v>
      </x:c>
      <x:c r="B23" s="34" t="str">
        <x:v>RB</x:v>
      </x:c>
      <x:c r="C23" s="34" t="n">
        <x:v>94</x:v>
      </x:c>
      <x:c r="D23" s="34" t="str">
        <x:v>OUT</x:v>
      </x:c>
      <x:c r="E23" s="34" t="str">
        <x:v>↓</x:v>
      </x:c>
      <x:c r="F23" s="35" t="n">
        <x:v>1.8931174089068825</x:v>
      </x:c>
      <x:c r="G23" s="35" t="n">
        <x:v>0</x:v>
      </x:c>
      <x:c r="H23" s="35" t="n">
        <x:v>-1.8931174089068825</x:v>
      </x:c>
      <x:c r="I23" s="34" t="str">
        <x:v>WAIVED/INJURED</x:v>
      </x:c>
      <x:c r="J23" s="34" t="str">
        <x:v>Arizona waived Benson with an injury designation on August 24; he is not in the active Week 3 pool. Conditional inputs remain visible for audit; expected Week 3 points are zero.</x:v>
      </x:c>
      <x:c r="K23" s="34" t="str">
        <x:v>https://www.azcardinals.com/team/transactions/</x:v>
      </x:c>
      <x:c r="L23" s="34" t="str">
        <x:v>2026-09-24 1:18 PM CT</x:v>
      </x:c>
    </x:row>
    <x:row r="24" ht="56" customHeight="1">
      <x:c r="A24" s="34" t="str">
        <x:v>Adam Randall</x:v>
      </x:c>
      <x:c r="B24" s="34" t="str">
        <x:v>RB</x:v>
      </x:c>
      <x:c r="C24" s="34" t="n">
        <x:v>88</x:v>
      </x:c>
      <x:c r="D24" s="34" t="str">
        <x:v>OUT</x:v>
      </x:c>
      <x:c r="E24" s="34" t="str">
        <x:v>↓</x:v>
      </x:c>
      <x:c r="F24" s="35" t="n">
        <x:v>2.0452435087719305</x:v>
      </x:c>
      <x:c r="G24" s="35" t="n">
        <x:v>0</x:v>
      </x:c>
      <x:c r="H24" s="35" t="n">
        <x:v>-2.0452435087719305</x:v>
      </x:c>
      <x:c r="I24" s="34" t="str">
        <x:v>IR</x:v>
      </x:c>
      <x:c r="J24" s="34" t="str">
        <x:v>Baltimore placed Randall on injured reserve; he is unavailable for Week 3. Conditional inputs remain visible for audit; expected Week 3 points are zero.</x:v>
      </x:c>
      <x:c r="K24" s="34" t="str">
        <x:v>https://www.baltimorebeatdown.com/baltimore-ravens-injuries/84838/zay-flowers-devontez-walker-pop-up-on-ravens-1st-2026-injury-report</x:v>
      </x:c>
      <x:c r="L24" s="34" t="str">
        <x:v>2026-09-24 1:18 PM CT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70" hidden="0" customWidth="1"/>
    <x:col min="7" max="7" width="65" hidden="0" customWidth="1"/>
    <x:col min="8" max="8" width="26" hidden="0" customWidth="1"/>
  </x:cols>
  <x:sheetData>
    <x:row r="1">
      <x:c r="A1" s="41" t="str">
        <x:v>Player</x:v>
      </x:c>
      <x:c r="B1" s="41" t="str">
        <x:v>Input</x:v>
      </x:c>
      <x:c r="C1" s="41" t="str">
        <x:v>Old</x:v>
      </x:c>
      <x:c r="D1" s="41" t="str">
        <x:v>New</x:v>
      </x:c>
      <x:c r="E1" s="41" t="str">
        <x:v>Change</x:v>
      </x:c>
      <x:c r="F1" s="41" t="str">
        <x:v>Reason</x:v>
      </x:c>
      <x:c r="G1" s="41" t="str">
        <x:v>Evidence</x:v>
      </x:c>
      <x:c r="H1" s="41" t="str">
        <x:v>Timestamp</x:v>
      </x:c>
    </x:row>
    <x:row r="2" ht="45" customHeight="1">
      <x:c r="A2" t="str">
        <x:v>Christian Watson</x:v>
      </x:c>
      <x:c r="B2" t="str">
        <x:v>Targets</x:v>
      </x:c>
      <x:c r="C2" s="42" t="n">
        <x:v>7.710144927536233</x:v>
      </x:c>
      <x:c r="D2" s="42" t="n">
        <x:v>9</x:v>
      </x:c>
      <x:c r="E2" s="42" t="n">
        <x:v>1.2898550724637667</x:v>
      </x:c>
      <x:c r="F2" s="31" t="str">
        <x:v>Corrected pregame workload model; no Week 3 results used. Week 2 gamebook: Watson 11 targets, Golden 6; forecast routes capped by 34 dropbacks. Team stat budget replaces additive route transfer. Lead target projection; 8–11 target range; 5.5 catches,72 yards,0.43 TD. Red-zone share 32%, two-minute route participation 90–100%.</x:v>
      </x:c>
      <x:c r="G2" s="31" t="str">
        <x:v>https://static.clubs.nfl.com/image/upload/packers/zu3fdftopjkj8hkcwckc</x:v>
      </x:c>
      <x:c r="H2" s="31" t="str">
        <x:v>2026-09-24 7:40 PM CT</x:v>
      </x:c>
    </x:row>
    <x:row r="3" ht="45" customHeight="1">
      <x:c r="A3" t="str">
        <x:v>Christian Watson</x:v>
      </x:c>
      <x:c r="B3" t="str">
        <x:v>Receptions</x:v>
      </x:c>
      <x:c r="C3" s="42" t="n">
        <x:v>4.9565217391304355</x:v>
      </x:c>
      <x:c r="D3" s="42" t="n">
        <x:v>5.5</x:v>
      </x:c>
      <x:c r="E3" s="42" t="n">
        <x:v>0.5434782608695645</x:v>
      </x:c>
      <x:c r="F3" s="31" t="str">
        <x:v>Corrected pregame workload model; no Week 3 results used. Week 2 gamebook: Watson 11 targets, Golden 6; forecast routes capped by 34 dropbacks. Team stat budget replaces additive route transfer. Lead target projection; 8–11 target range; 5.5 catches,72 yards,0.43 TD. Red-zone share 32%, two-minute route participation 90–100%.</x:v>
      </x:c>
      <x:c r="G3" s="31" t="str">
        <x:v>https://static.clubs.nfl.com/image/upload/packers/zu3fdftopjkj8hkcwckc</x:v>
      </x:c>
      <x:c r="H3" s="31" t="str">
        <x:v>2026-09-24 7:40 PM CT</x:v>
      </x:c>
    </x:row>
    <x:row r="4" ht="45" customHeight="1">
      <x:c r="A4" t="str">
        <x:v>Christian Watson</x:v>
      </x:c>
      <x:c r="B4" t="str">
        <x:v>Receiving Yds</x:v>
      </x:c>
      <x:c r="C4" s="42" t="n">
        <x:v>65.16173913043478</x:v>
      </x:c>
      <x:c r="D4" s="42" t="n">
        <x:v>72</x:v>
      </x:c>
      <x:c r="E4" s="42" t="n">
        <x:v>6.838260869565218</x:v>
      </x:c>
      <x:c r="F4" s="31" t="str">
        <x:v>Corrected pregame workload model; no Week 3 results used. Week 2 gamebook: Watson 11 targets, Golden 6; forecast routes capped by 34 dropbacks. Team stat budget replaces additive route transfer. Lead target projection; 8–11 target range; 5.5 catches,72 yards,0.43 TD. Red-zone share 32%, two-minute route participation 90–100%.</x:v>
      </x:c>
      <x:c r="G4" s="31" t="str">
        <x:v>https://static.clubs.nfl.com/image/upload/packers/zu3fdftopjkj8hkcwckc</x:v>
      </x:c>
      <x:c r="H4" s="31" t="str">
        <x:v>2026-09-24 7:40 PM CT</x:v>
      </x:c>
    </x:row>
    <x:row r="5" ht="45" customHeight="1">
      <x:c r="A5" t="str">
        <x:v>Christian Watson</x:v>
      </x:c>
      <x:c r="B5" t="str">
        <x:v>Receiving TD</x:v>
      </x:c>
      <x:c r="C5" s="42" t="n">
        <x:v>0.39321739130434785</x:v>
      </x:c>
      <x:c r="D5" s="42" t="n">
        <x:v>0.43</x:v>
      </x:c>
      <x:c r="E5" s="42" t="n">
        <x:v>0.03678260869565214</x:v>
      </x:c>
      <x:c r="F5" s="31" t="str">
        <x:v>Corrected pregame workload model; no Week 3 results used. Week 2 gamebook: Watson 11 targets, Golden 6; forecast routes capped by 34 dropbacks. Team stat budget replaces additive route transfer. Lead target projection; 8–11 target range; 5.5 catches,72 yards,0.43 TD. Red-zone share 32%, two-minute route participation 90–100%.</x:v>
      </x:c>
      <x:c r="G5" s="31" t="str">
        <x:v>https://static.clubs.nfl.com/image/upload/packers/zu3fdftopjkj8hkcwckc</x:v>
      </x:c>
      <x:c r="H5" s="31" t="str">
        <x:v>2026-09-24 7:40 PM CT</x:v>
      </x:c>
    </x:row>
    <x:row r="6" ht="45" customHeight="1">
      <x:c r="A6" t="str">
        <x:v>Christian Watson</x:v>
      </x:c>
      <x:c r="B6" t="str">
        <x:v>Routes</x:v>
      </x:c>
      <x:c r="C6" s="42" t="n">
        <x:v>34.14492753623189</x:v>
      </x:c>
      <x:c r="D6" s="42" t="n">
        <x:v>31</x:v>
      </x:c>
      <x:c r="E6" s="42" t="n">
        <x:v>-3.14492753623189</x:v>
      </x:c>
      <x:c r="F6" s="31" t="str">
        <x:v>Corrected pregame workload model; no Week 3 results used. Week 2 gamebook: Watson 11 targets, Golden 6; forecast routes capped by 34 dropbacks. Team stat budget replaces additive route transfer. Lead target projection; 8–11 target range; 5.5 catches,72 yards,0.43 TD. Red-zone share 32%, two-minute route participation 90–100%.</x:v>
      </x:c>
      <x:c r="G6" s="31" t="str">
        <x:v>https://static.clubs.nfl.com/image/upload/packers/zu3fdftopjkj8hkcwckc</x:v>
      </x:c>
      <x:c r="H6" s="31" t="str">
        <x:v>2026-09-24 7:40 PM CT</x:v>
      </x:c>
    </x:row>
    <x:row r="7" ht="45" customHeight="1">
      <x:c r="A7" t="str">
        <x:v>Christian Watson</x:v>
      </x:c>
      <x:c r="B7" t="str">
        <x:v>Route %</x:v>
      </x:c>
      <x:c r="C7" s="42" t="n">
        <x:v>0.78</x:v>
      </x:c>
      <x:c r="D7" s="42" t="n">
        <x:v>0.9117647058823529</x:v>
      </x:c>
      <x:c r="E7" s="42" t="n">
        <x:v>0.1317647058823529</x:v>
      </x:c>
      <x:c r="F7" s="31" t="str">
        <x:v>Corrected pregame workload model; no Week 3 results used. Week 2 gamebook: Watson 11 targets, Golden 6; forecast routes capped by 34 dropbacks. Team stat budget replaces additive route transfer. Lead target projection; 8–11 target range; 5.5 catches,72 yards,0.43 TD. Red-zone share 32%, two-minute route participation 90–100%.</x:v>
      </x:c>
      <x:c r="G7" s="31" t="str">
        <x:v>https://static.clubs.nfl.com/image/upload/packers/zu3fdftopjkj8hkcwckc</x:v>
      </x:c>
      <x:c r="H7" s="31" t="str">
        <x:v>2026-09-24 7:40 PM CT</x:v>
      </x:c>
    </x:row>
    <x:row r="8" ht="45" customHeight="1">
      <x:c r="A8" t="str">
        <x:v>Christian Watson</x:v>
      </x:c>
      <x:c r="B8" t="str">
        <x:v>Role Value</x:v>
      </x:c>
      <x:c r="C8" s="42" t="n">
        <x:v>29.35265700483092</x:v>
      </x:c>
      <x:c r="D8" s="42" t="n">
        <x:v>31</x:v>
      </x:c>
      <x:c r="E8" s="42" t="n">
        <x:v>1.6473429951690797</x:v>
      </x:c>
      <x:c r="F8" s="31" t="str">
        <x:v>Corrected pregame workload model; no Week 3 results used. Week 2 gamebook: Watson 11 targets, Golden 6; forecast routes capped by 34 dropbacks. Team stat budget replaces additive route transfer. Lead target projection; 8–11 target range; 5.5 catches,72 yards,0.43 TD. Red-zone share 32%, two-minute route participation 90–100%.</x:v>
      </x:c>
      <x:c r="G8" s="31" t="str">
        <x:v>https://static.clubs.nfl.com/image/upload/packers/zu3fdftopjkj8hkcwckc</x:v>
      </x:c>
      <x:c r="H8" s="31" t="str">
        <x:v>2026-09-24 7:40 PM CT</x:v>
      </x:c>
    </x:row>
    <x:row r="9" ht="45" customHeight="1">
      <x:c r="A9" t="str">
        <x:v>Christian Watson</x:v>
      </x:c>
      <x:c r="B9" t="str">
        <x:v>Expected Snaps</x:v>
      </x:c>
      <x:c r="C9" s="42" t="n">
        <x:v>52</x:v>
      </x:c>
      <x:c r="D9" s="42" t="n">
        <x:v>53</x:v>
      </x:c>
      <x:c r="E9" s="42" t="n">
        <x:v>1</x:v>
      </x:c>
      <x:c r="F9" s="31" t="str">
        <x:v>Corrected pregame workload model; no Week 3 results used. Week 2 gamebook: Watson 11 targets, Golden 6; forecast routes capped by 34 dropbacks. Team stat budget replaces additive route transfer. Lead target projection; 8–11 target range; 5.5 catches,72 yards,0.43 TD. Red-zone share 32%, two-minute route participation 90–100%.</x:v>
      </x:c>
      <x:c r="G9" s="31" t="str">
        <x:v>https://static.clubs.nfl.com/image/upload/packers/zu3fdftopjkj8hkcwckc</x:v>
      </x:c>
      <x:c r="H9" s="31" t="str">
        <x:v>2026-09-24 7:40 PM CT</x:v>
      </x:c>
    </x:row>
    <x:row r="10" ht="45" customHeight="1">
      <x:c r="A10" t="str">
        <x:v>Christian Watson</x:v>
      </x:c>
      <x:c r="B10" t="str">
        <x:v>Teammate Redistribution</x:v>
      </x:c>
      <x:c r="C10" s="42" t="n">
        <x:v>1.08</x:v>
      </x:c>
      <x:c r="D10" s="42" t="n">
        <x:v>1</x:v>
      </x:c>
      <x:c r="E10" s="42" t="n">
        <x:v>-0.08000000000000007</x:v>
      </x:c>
      <x:c r="F10" s="31" t="str">
        <x:v>Corrected pregame workload model; no Week 3 results used. Week 2 gamebook: Watson 11 targets, Golden 6; forecast routes capped by 34 dropbacks. Team stat budget replaces additive route transfer. Lead target projection; 8–11 target range; 5.5 catches,72 yards,0.43 TD. Red-zone share 32%, two-minute route participation 90–100%.</x:v>
      </x:c>
      <x:c r="G10" s="31" t="str">
        <x:v>https://static.clubs.nfl.com/image/upload/packers/zu3fdftopjkj8hkcwckc</x:v>
      </x:c>
      <x:c r="H10" s="31" t="str">
        <x:v>2026-09-24 7:40 PM CT</x:v>
      </x:c>
    </x:row>
    <x:row r="11" ht="45" customHeight="1">
      <x:c r="A11" t="str">
        <x:v>Matthew Golden</x:v>
      </x:c>
      <x:c r="B11" t="str">
        <x:v>Targets</x:v>
      </x:c>
      <x:c r="C11" s="42" t="n">
        <x:v>8.183574879227054</x:v>
      </x:c>
      <x:c r="D11" s="42" t="n">
        <x:v>7</x:v>
      </x:c>
      <x:c r="E11" s="42" t="n">
        <x:v>-1.183574879227054</x:v>
      </x:c>
      <x:c r="F11" s="31" t="str">
        <x:v>Corrected pregame workload model; no Week 3 results used. Week 2 gamebook: Watson 11 targets, Golden 6; forecast routes capped by 34 dropbacks. Team stat budget replaces additive route transfer. Secondary receiver; 6–8 target range. Slot fit does not override Watson target-earning role. Red-zone share 22%, two-minute routes 85–95%.</x:v>
      </x:c>
      <x:c r="G11" s="31" t="str">
        <x:v>https://static.clubs.nfl.com/image/upload/packers/zu3fdftopjkj8hkcwckc</x:v>
      </x:c>
      <x:c r="H11" s="31" t="str">
        <x:v>2026-09-24 7:40 PM CT</x:v>
      </x:c>
    </x:row>
    <x:row r="12" ht="45" customHeight="1">
      <x:c r="A12" t="str">
        <x:v>Matthew Golden</x:v>
      </x:c>
      <x:c r="B12" t="str">
        <x:v>Receptions</x:v>
      </x:c>
      <x:c r="C12" s="42" t="n">
        <x:v>5.260869565217392</x:v>
      </x:c>
      <x:c r="D12" s="42" t="n">
        <x:v>4.4</x:v>
      </x:c>
      <x:c r="E12" s="42" t="n">
        <x:v>-0.8608695652173912</x:v>
      </x:c>
      <x:c r="F12" s="31" t="str">
        <x:v>Corrected pregame workload model; no Week 3 results used. Week 2 gamebook: Watson 11 targets, Golden 6; forecast routes capped by 34 dropbacks. Team stat budget replaces additive route transfer. Secondary receiver; 6–8 target range. Slot fit does not override Watson target-earning role. Red-zone share 22%, two-minute routes 85–95%.</x:v>
      </x:c>
      <x:c r="G12" s="31" t="str">
        <x:v>https://static.clubs.nfl.com/image/upload/packers/zu3fdftopjkj8hkcwckc</x:v>
      </x:c>
      <x:c r="H12" s="31" t="str">
        <x:v>2026-09-24 7:40 PM CT</x:v>
      </x:c>
    </x:row>
    <x:row r="13" ht="45" customHeight="1">
      <x:c r="A13" t="str">
        <x:v>Matthew Golden</x:v>
      </x:c>
      <x:c r="B13" t="str">
        <x:v>Receiving Yds</x:v>
      </x:c>
      <x:c r="C13" s="42" t="n">
        <x:v>69.16289855072465</x:v>
      </x:c>
      <x:c r="D13" s="42" t="n">
        <x:v>57</x:v>
      </x:c>
      <x:c r="E13" s="42" t="n">
        <x:v>-12.162898550724648</x:v>
      </x:c>
      <x:c r="F13" s="31" t="str">
        <x:v>Corrected pregame workload model; no Week 3 results used. Week 2 gamebook: Watson 11 targets, Golden 6; forecast routes capped by 34 dropbacks. Team stat budget replaces additive route transfer. Secondary receiver; 6–8 target range. Slot fit does not override Watson target-earning role. Red-zone share 22%, two-minute routes 85–95%.</x:v>
      </x:c>
      <x:c r="G13" s="31" t="str">
        <x:v>https://static.clubs.nfl.com/image/upload/packers/zu3fdftopjkj8hkcwckc</x:v>
      </x:c>
      <x:c r="H13" s="31" t="str">
        <x:v>2026-09-24 7:40 PM CT</x:v>
      </x:c>
    </x:row>
    <x:row r="14" ht="45" customHeight="1">
      <x:c r="A14" t="str">
        <x:v>Matthew Golden</x:v>
      </x:c>
      <x:c r="B14" t="str">
        <x:v>Receiving TD</x:v>
      </x:c>
      <x:c r="C14" s="42" t="n">
        <x:v>0.4173623188405797</x:v>
      </x:c>
      <x:c r="D14" s="42" t="n">
        <x:v>0.3</x:v>
      </x:c>
      <x:c r="E14" s="42" t="n">
        <x:v>-0.11736231884057974</x:v>
      </x:c>
      <x:c r="F14" s="31" t="str">
        <x:v>Corrected pregame workload model; no Week 3 results used. Week 2 gamebook: Watson 11 targets, Golden 6; forecast routes capped by 34 dropbacks. Team stat budget replaces additive route transfer. Secondary receiver; 6–8 target range. Slot fit does not override Watson target-earning role. Red-zone share 22%, two-minute routes 85–95%.</x:v>
      </x:c>
      <x:c r="G14" s="31" t="str">
        <x:v>https://static.clubs.nfl.com/image/upload/packers/zu3fdftopjkj8hkcwckc</x:v>
      </x:c>
      <x:c r="H14" s="31" t="str">
        <x:v>2026-09-24 7:40 PM CT</x:v>
      </x:c>
    </x:row>
    <x:row r="15" ht="45" customHeight="1">
      <x:c r="A15" t="str">
        <x:v>Matthew Golden</x:v>
      </x:c>
      <x:c r="B15" t="str">
        <x:v>Routes</x:v>
      </x:c>
      <x:c r="C15" s="42" t="n">
        <x:v>36.24154589371981</x:v>
      </x:c>
      <x:c r="D15" s="42" t="n">
        <x:v>30</x:v>
      </x:c>
      <x:c r="E15" s="42" t="n">
        <x:v>-6.24154589371981</x:v>
      </x:c>
      <x:c r="F15" s="31" t="str">
        <x:v>Corrected pregame workload model; no Week 3 results used. Week 2 gamebook: Watson 11 targets, Golden 6; forecast routes capped by 34 dropbacks. Team stat budget replaces additive route transfer. Secondary receiver; 6–8 target range. Slot fit does not override Watson target-earning role. Red-zone share 22%, two-minute routes 85–95%.</x:v>
      </x:c>
      <x:c r="G15" s="31" t="str">
        <x:v>https://static.clubs.nfl.com/image/upload/packers/zu3fdftopjkj8hkcwckc</x:v>
      </x:c>
      <x:c r="H15" s="31" t="str">
        <x:v>2026-09-24 7:40 PM CT</x:v>
      </x:c>
    </x:row>
    <x:row r="16" ht="45" customHeight="1">
      <x:c r="A16" t="str">
        <x:v>Matthew Golden</x:v>
      </x:c>
      <x:c r="B16" t="str">
        <x:v>Route %</x:v>
      </x:c>
      <x:c r="C16" s="42" t="n">
        <x:v>0.78</x:v>
      </x:c>
      <x:c r="D16" s="42" t="n">
        <x:v>0.8823529411764706</x:v>
      </x:c>
      <x:c r="E16" s="42" t="n">
        <x:v>0.10235294117647054</x:v>
      </x:c>
      <x:c r="F16" s="31" t="str">
        <x:v>Corrected pregame workload model; no Week 3 results used. Week 2 gamebook: Watson 11 targets, Golden 6; forecast routes capped by 34 dropbacks. Team stat budget replaces additive route transfer. Secondary receiver; 6–8 target range. Slot fit does not override Watson target-earning role. Red-zone share 22%, two-minute routes 85–95%.</x:v>
      </x:c>
      <x:c r="G16" s="31" t="str">
        <x:v>https://static.clubs.nfl.com/image/upload/packers/zu3fdftopjkj8hkcwckc</x:v>
      </x:c>
      <x:c r="H16" s="31" t="str">
        <x:v>2026-09-24 7:40 PM CT</x:v>
      </x:c>
    </x:row>
    <x:row r="17" ht="45" customHeight="1">
      <x:c r="A17" t="str">
        <x:v>Matthew Golden</x:v>
      </x:c>
      <x:c r="B17" t="str">
        <x:v>Role Value</x:v>
      </x:c>
      <x:c r="C17" s="42" t="n">
        <x:v>26.657004830917877</x:v>
      </x:c>
      <x:c r="D17" s="42" t="n">
        <x:v>30</x:v>
      </x:c>
      <x:c r="E17" s="42" t="n">
        <x:v>3.3429951690821227</x:v>
      </x:c>
      <x:c r="F17" s="31" t="str">
        <x:v>Corrected pregame workload model; no Week 3 results used. Week 2 gamebook: Watson 11 targets, Golden 6; forecast routes capped by 34 dropbacks. Team stat budget replaces additive route transfer. Secondary receiver; 6–8 target range. Slot fit does not override Watson target-earning role. Red-zone share 22%, two-minute routes 85–95%.</x:v>
      </x:c>
      <x:c r="G17" s="31" t="str">
        <x:v>https://static.clubs.nfl.com/image/upload/packers/zu3fdftopjkj8hkcwckc</x:v>
      </x:c>
      <x:c r="H17" s="31" t="str">
        <x:v>2026-09-24 7:40 PM CT</x:v>
      </x:c>
    </x:row>
    <x:row r="18" ht="45" customHeight="1">
      <x:c r="A18" t="str">
        <x:v>Matthew Golden</x:v>
      </x:c>
      <x:c r="B18" t="str">
        <x:v>Teammate Redistribution</x:v>
      </x:c>
      <x:c r="C18" s="42" t="n">
        <x:v>1.08</x:v>
      </x:c>
      <x:c r="D18" s="42" t="n">
        <x:v>1</x:v>
      </x:c>
      <x:c r="E18" s="42" t="n">
        <x:v>-0.08000000000000007</x:v>
      </x:c>
      <x:c r="F18" s="31" t="str">
        <x:v>Corrected pregame workload model; no Week 3 results used. Week 2 gamebook: Watson 11 targets, Golden 6; forecast routes capped by 34 dropbacks. Team stat budget replaces additive route transfer. Secondary receiver; 6–8 target range. Slot fit does not override Watson target-earning role. Red-zone share 22%, two-minute routes 85–95%.</x:v>
      </x:c>
      <x:c r="G18" s="31" t="str">
        <x:v>https://static.clubs.nfl.com/image/upload/packers/zu3fdftopjkj8hkcwckc</x:v>
      </x:c>
      <x:c r="H18" s="31" t="str">
        <x:v>2026-09-24 7:40 PM CT</x:v>
      </x:c>
    </x:row>
    <x:row r="19" ht="45" customHeight="1">
      <x:c r="A19" t="str">
        <x:v>Tucker Kraft</x:v>
      </x:c>
      <x:c r="B19" t="str">
        <x:v>Targets</x:v>
      </x:c>
      <x:c r="C19" s="42" t="n">
        <x:v>6.37450811018332</x:v>
      </x:c>
      <x:c r="D19" s="42" t="n">
        <x:v>6.5</x:v>
      </x:c>
      <x:c r="E19" s="42" t="n">
        <x:v>0.12549188981668014</x:v>
      </x:c>
      <x:c r="F19" s="31" t="str">
        <x:v>Corrected pregame workload model; no Week 3 results used. Week 2 gamebook: Watson 11 targets, Golden 6; forecast routes capped by 34 dropbacks. Team stat budget replaces additive route transfer. Middle-field beneficiary; 5–8 target range, red-zone share 28%, two-minute routes 75–90%.</x:v>
      </x:c>
      <x:c r="G19" s="31" t="str">
        <x:v>https://static.clubs.nfl.com/image/upload/packers/zu3fdftopjkj8hkcwckc</x:v>
      </x:c>
      <x:c r="H19" s="31" t="str">
        <x:v>2026-09-24 7:40 PM CT</x:v>
      </x:c>
    </x:row>
    <x:row r="20" ht="45" customHeight="1">
      <x:c r="A20" t="str">
        <x:v>Tucker Kraft</x:v>
      </x:c>
      <x:c r="B20" t="str">
        <x:v>Receptions</x:v>
      </x:c>
      <x:c r="C20" s="42" t="n">
        <x:v>4.462155677128323</x:v>
      </x:c>
      <x:c r="D20" s="42" t="n">
        <x:v>4.5</x:v>
      </x:c>
      <x:c r="E20" s="42" t="n">
        <x:v>0.03784432287167672</x:v>
      </x:c>
      <x:c r="F20" s="31" t="str">
        <x:v>Corrected pregame workload model; no Week 3 results used. Week 2 gamebook: Watson 11 targets, Golden 6; forecast routes capped by 34 dropbacks. Team stat budget replaces additive route transfer. Middle-field beneficiary; 5–8 target range, red-zone share 28%, two-minute routes 75–90%.</x:v>
      </x:c>
      <x:c r="G20" s="31" t="str">
        <x:v>https://static.clubs.nfl.com/image/upload/packers/zu3fdftopjkj8hkcwckc</x:v>
      </x:c>
      <x:c r="H20" s="31" t="str">
        <x:v>2026-09-24 7:40 PM CT</x:v>
      </x:c>
    </x:row>
    <x:row r="21" ht="45" customHeight="1">
      <x:c r="A21" t="str">
        <x:v>Tucker Kraft</x:v>
      </x:c>
      <x:c r="B21" t="str">
        <x:v>Receiving Yds</x:v>
      </x:c>
      <x:c r="C21" s="42" t="n">
        <x:v>52.01598617909589</x:v>
      </x:c>
      <x:c r="D21" s="42" t="n">
        <x:v>52</x:v>
      </x:c>
      <x:c r="E21" s="42" t="n">
        <x:v>-0.015986179095889952</x:v>
      </x:c>
      <x:c r="F21" s="31" t="str">
        <x:v>Corrected pregame workload model; no Week 3 results used. Week 2 gamebook: Watson 11 targets, Golden 6; forecast routes capped by 34 dropbacks. Team stat budget replaces additive route transfer. Middle-field beneficiary; 5–8 target range, red-zone share 28%, two-minute routes 75–90%.</x:v>
      </x:c>
      <x:c r="G21" s="31" t="str">
        <x:v>https://static.clubs.nfl.com/image/upload/packers/zu3fdftopjkj8hkcwckc</x:v>
      </x:c>
      <x:c r="H21" s="31" t="str">
        <x:v>2026-09-24 7:40 PM CT</x:v>
      </x:c>
    </x:row>
    <x:row r="22" ht="45" customHeight="1">
      <x:c r="A22" t="str">
        <x:v>Tucker Kraft</x:v>
      </x:c>
      <x:c r="B22" t="str">
        <x:v>Receiving TD</x:v>
      </x:c>
      <x:c r="C22" s="42" t="n">
        <x:v>0.39011989634321914</x:v>
      </x:c>
      <x:c r="D22" s="42" t="n">
        <x:v>0.39</x:v>
      </x:c>
      <x:c r="E22" s="42" t="n">
        <x:v>-0.00011989634321912801</x:v>
      </x:c>
      <x:c r="F22" s="31" t="str">
        <x:v>Corrected pregame workload model; no Week 3 results used. Week 2 gamebook: Watson 11 targets, Golden 6; forecast routes capped by 34 dropbacks. Team stat budget replaces additive route transfer. Middle-field beneficiary; 5–8 target range, red-zone share 28%, two-minute routes 75–90%.</x:v>
      </x:c>
      <x:c r="G22" s="31" t="str">
        <x:v>https://static.clubs.nfl.com/image/upload/packers/zu3fdftopjkj8hkcwckc</x:v>
      </x:c>
      <x:c r="H22" s="31" t="str">
        <x:v>2026-09-24 7:40 PM CT</x:v>
      </x:c>
    </x:row>
    <x:row r="23" ht="45" customHeight="1">
      <x:c r="A23" t="str">
        <x:v>Tucker Kraft</x:v>
      </x:c>
      <x:c r="B23" t="str">
        <x:v>Routes</x:v>
      </x:c>
      <x:c r="C23" s="42" t="n">
        <x:v>33.80490770067505</x:v>
      </x:c>
      <x:c r="D23" s="42" t="n">
        <x:v>28</x:v>
      </x:c>
      <x:c r="E23" s="42" t="n">
        <x:v>-5.804907700675052</x:v>
      </x:c>
      <x:c r="F23" s="31" t="str">
        <x:v>Corrected pregame workload model; no Week 3 results used. Week 2 gamebook: Watson 11 targets, Golden 6; forecast routes capped by 34 dropbacks. Team stat budget replaces additive route transfer. Middle-field beneficiary; 5–8 target range, red-zone share 28%, two-minute routes 75–90%.</x:v>
      </x:c>
      <x:c r="G23" s="31" t="str">
        <x:v>https://static.clubs.nfl.com/image/upload/packers/zu3fdftopjkj8hkcwckc</x:v>
      </x:c>
      <x:c r="H23" s="31" t="str">
        <x:v>2026-09-24 7:40 PM CT</x:v>
      </x:c>
    </x:row>
    <x:row r="24" ht="45" customHeight="1">
      <x:c r="A24" t="str">
        <x:v>Tucker Kraft</x:v>
      </x:c>
      <x:c r="B24" t="str">
        <x:v>Route %</x:v>
      </x:c>
      <x:c r="C24" s="42" t="n">
        <x:v>0.68</x:v>
      </x:c>
      <x:c r="D24" s="42" t="n">
        <x:v>0.8235294117647058</x:v>
      </x:c>
      <x:c r="E24" s="42" t="n">
        <x:v>0.1435294117647058</x:v>
      </x:c>
      <x:c r="F24" s="31" t="str">
        <x:v>Corrected pregame workload model; no Week 3 results used. Week 2 gamebook: Watson 11 targets, Golden 6; forecast routes capped by 34 dropbacks. Team stat budget replaces additive route transfer. Middle-field beneficiary; 5–8 target range, red-zone share 28%, two-minute routes 75–90%.</x:v>
      </x:c>
      <x:c r="G24" s="31" t="str">
        <x:v>https://static.clubs.nfl.com/image/upload/packers/zu3fdftopjkj8hkcwckc</x:v>
      </x:c>
      <x:c r="H24" s="31" t="str">
        <x:v>2026-09-24 7:40 PM CT</x:v>
      </x:c>
    </x:row>
    <x:row r="25" ht="45" customHeight="1">
      <x:c r="A25" t="str">
        <x:v>Tucker Kraft</x:v>
      </x:c>
      <x:c r="B25" t="str">
        <x:v>Role Value</x:v>
      </x:c>
      <x:c r="C25" s="42" t="n">
        <x:v>27.814569536423843</x:v>
      </x:c>
      <x:c r="D25" s="42" t="n">
        <x:v>28</x:v>
      </x:c>
      <x:c r="E25" s="42" t="n">
        <x:v>0.18543046357615722</x:v>
      </x:c>
      <x:c r="F25" s="31" t="str">
        <x:v>Corrected pregame workload model; no Week 3 results used. Week 2 gamebook: Watson 11 targets, Golden 6; forecast routes capped by 34 dropbacks. Team stat budget replaces additive route transfer. Middle-field beneficiary; 5–8 target range, red-zone share 28%, two-minute routes 75–90%.</x:v>
      </x:c>
      <x:c r="G25" s="31" t="str">
        <x:v>https://static.clubs.nfl.com/image/upload/packers/zu3fdftopjkj8hkcwckc</x:v>
      </x:c>
      <x:c r="H25" s="31" t="str">
        <x:v>2026-09-24 7:40 PM CT</x:v>
      </x:c>
    </x:row>
    <x:row r="26" ht="45" customHeight="1">
      <x:c r="A26" t="str">
        <x:v>Tucker Kraft</x:v>
      </x:c>
      <x:c r="B26" t="str">
        <x:v>Expected Snaps</x:v>
      </x:c>
      <x:c r="C26" s="42" t="n">
        <x:v>44</x:v>
      </x:c>
      <x:c r="D26" s="42" t="n">
        <x:v>47</x:v>
      </x:c>
      <x:c r="E26" s="42" t="n">
        <x:v>3</x:v>
      </x:c>
      <x:c r="F26" s="31" t="str">
        <x:v>Corrected pregame workload model; no Week 3 results used. Week 2 gamebook: Watson 11 targets, Golden 6; forecast routes capped by 34 dropbacks. Team stat budget replaces additive route transfer. Middle-field beneficiary; 5–8 target range, red-zone share 28%, two-minute routes 75–90%.</x:v>
      </x:c>
      <x:c r="G26" s="31" t="str">
        <x:v>https://static.clubs.nfl.com/image/upload/packers/zu3fdftopjkj8hkcwckc</x:v>
      </x:c>
      <x:c r="H26" s="31" t="str">
        <x:v>2026-09-24 7:40 PM CT</x:v>
      </x:c>
    </x:row>
    <x:row r="27" ht="45" customHeight="1">
      <x:c r="A27" t="str">
        <x:v>Tucker Kraft</x:v>
      </x:c>
      <x:c r="B27" t="str">
        <x:v>Teammate Redistribution</x:v>
      </x:c>
      <x:c r="C27" s="42" t="n">
        <x:v>1.08</x:v>
      </x:c>
      <x:c r="D27" s="42" t="n">
        <x:v>1</x:v>
      </x:c>
      <x:c r="E27" s="42" t="n">
        <x:v>-0.08000000000000007</x:v>
      </x:c>
      <x:c r="F27" s="31" t="str">
        <x:v>Corrected pregame workload model; no Week 3 results used. Week 2 gamebook: Watson 11 targets, Golden 6; forecast routes capped by 34 dropbacks. Team stat budget replaces additive route transfer. Middle-field beneficiary; 5–8 target range, red-zone share 28%, two-minute routes 75–90%.</x:v>
      </x:c>
      <x:c r="G27" s="31" t="str">
        <x:v>https://static.clubs.nfl.com/image/upload/packers/zu3fdftopjkj8hkcwckc</x:v>
      </x:c>
      <x:c r="H27" s="31" t="str">
        <x:v>2026-09-24 7:40 PM CT</x:v>
      </x:c>
    </x:row>
    <x:row r="28" ht="45" customHeight="1">
      <x:c r="A28" t="str">
        <x:v>MarShawn Lloyd</x:v>
      </x:c>
      <x:c r="B28" t="str">
        <x:v>Targets</x:v>
      </x:c>
      <x:c r="C28" s="42" t="n">
        <x:v>2.5416123921844744</x:v>
      </x:c>
      <x:c r="D28" s="42" t="n">
        <x:v>1.5</x:v>
      </x:c>
      <x:c r="E28" s="42" t="n">
        <x:v>-1.0416123921844744</x:v>
      </x:c>
      <x:c r="F28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28" s="31" t="str">
        <x:v>https://static.clubs.nfl.com/image/upload/packers/zu3fdftopjkj8hkcwckc</x:v>
      </x:c>
      <x:c r="H28" s="31" t="str">
        <x:v>2026-09-24 7:40 PM CT</x:v>
      </x:c>
    </x:row>
    <x:row r="29" ht="45" customHeight="1">
      <x:c r="A29" t="str">
        <x:v>MarShawn Lloyd</x:v>
      </x:c>
      <x:c r="B29" t="str">
        <x:v>Receptions</x:v>
      </x:c>
      <x:c r="C29" s="42" t="n">
        <x:v>1.9606724168280232</x:v>
      </x:c>
      <x:c r="D29" s="42" t="n">
        <x:v>1.2</x:v>
      </x:c>
      <x:c r="E29" s="42" t="n">
        <x:v>-0.7606724168280232</x:v>
      </x:c>
      <x:c r="F29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29" s="31" t="str">
        <x:v>https://static.clubs.nfl.com/image/upload/packers/zu3fdftopjkj8hkcwckc</x:v>
      </x:c>
      <x:c r="H29" s="31" t="str">
        <x:v>2026-09-24 7:40 PM CT</x:v>
      </x:c>
    </x:row>
    <x:row r="30" ht="45" customHeight="1">
      <x:c r="A30" t="str">
        <x:v>MarShawn Lloyd</x:v>
      </x:c>
      <x:c r="B30" t="str">
        <x:v>Receiving Yds</x:v>
      </x:c>
      <x:c r="C30" s="42" t="n">
        <x:v>16.458319971835945</x:v>
      </x:c>
      <x:c r="D30" s="42" t="n">
        <x:v>8</x:v>
      </x:c>
      <x:c r="E30" s="42" t="n">
        <x:v>-8.458319971835945</x:v>
      </x:c>
      <x:c r="F30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30" s="31" t="str">
        <x:v>https://static.clubs.nfl.com/image/upload/packers/zu3fdftopjkj8hkcwckc</x:v>
      </x:c>
      <x:c r="H30" s="31" t="str">
        <x:v>2026-09-24 7:40 PM CT</x:v>
      </x:c>
    </x:row>
    <x:row r="31" ht="45" customHeight="1">
      <x:c r="A31" t="str">
        <x:v>MarShawn Lloyd</x:v>
      </x:c>
      <x:c r="B31" t="str">
        <x:v>Receiving TD</x:v>
      </x:c>
      <x:c r="C31" s="42" t="n">
        <x:v>0.07481054532652702</x:v>
      </x:c>
      <x:c r="D31" s="42" t="n">
        <x:v>0.03</x:v>
      </x:c>
      <x:c r="E31" s="42" t="n">
        <x:v>-0.04481054532652702</x:v>
      </x:c>
      <x:c r="F31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31" s="31" t="str">
        <x:v>https://static.clubs.nfl.com/image/upload/packers/zu3fdftopjkj8hkcwckc</x:v>
      </x:c>
      <x:c r="H31" s="31" t="str">
        <x:v>2026-09-24 7:40 PM CT</x:v>
      </x:c>
    </x:row>
    <x:row r="32" ht="45" customHeight="1">
      <x:c r="A32" t="str">
        <x:v>MarShawn Lloyd</x:v>
      </x:c>
      <x:c r="B32" t="str">
        <x:v>Routes</x:v>
      </x:c>
      <x:c r="C32" s="42" t="n">
        <x:v>0</x:v>
      </x:c>
      <x:c r="D32" s="42" t="n">
        <x:v>8</x:v>
      </x:c>
      <x:c r="E32" s="42" t="n">
        <x:v>8</x:v>
      </x:c>
      <x:c r="F32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32" s="31" t="str">
        <x:v>https://static.clubs.nfl.com/image/upload/packers/zu3fdftopjkj8hkcwckc</x:v>
      </x:c>
      <x:c r="H32" s="31" t="str">
        <x:v>2026-09-24 7:40 PM CT</x:v>
      </x:c>
    </x:row>
    <x:row r="33" ht="45" customHeight="1">
      <x:c r="A33" t="str">
        <x:v>MarShawn Lloyd</x:v>
      </x:c>
      <x:c r="B33" t="str">
        <x:v>Route %</x:v>
      </x:c>
      <x:c r="C33" s="42" t="n">
        <x:v>0</x:v>
      </x:c>
      <x:c r="D33" s="42" t="n">
        <x:v>0.23529411764705882</x:v>
      </x:c>
      <x:c r="E33" s="42" t="n">
        <x:v>0.23529411764705882</x:v>
      </x:c>
      <x:c r="F33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33" s="31" t="str">
        <x:v>https://static.clubs.nfl.com/image/upload/packers/zu3fdftopjkj8hkcwckc</x:v>
      </x:c>
      <x:c r="H33" s="31" t="str">
        <x:v>2026-09-24 7:40 PM CT</x:v>
      </x:c>
    </x:row>
    <x:row r="34" ht="45" customHeight="1">
      <x:c r="A34" t="str">
        <x:v>MarShawn Lloyd</x:v>
      </x:c>
      <x:c r="B34" t="str">
        <x:v>Role Value</x:v>
      </x:c>
      <x:c r="C34" s="42" t="n">
        <x:v>9.686234817813766</x:v>
      </x:c>
      <x:c r="D34" s="42" t="n">
        <x:v>8</x:v>
      </x:c>
      <x:c r="E34" s="42" t="n">
        <x:v>-1.6862348178137658</x:v>
      </x:c>
      <x:c r="F34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34" s="31" t="str">
        <x:v>https://static.clubs.nfl.com/image/upload/packers/zu3fdftopjkj8hkcwckc</x:v>
      </x:c>
      <x:c r="H34" s="31" t="str">
        <x:v>2026-09-24 7:40 PM CT</x:v>
      </x:c>
    </x:row>
    <x:row r="35" ht="45" customHeight="1">
      <x:c r="A35" t="str">
        <x:v>MarShawn Lloyd</x:v>
      </x:c>
      <x:c r="B35" t="str">
        <x:v>Expected Snaps</x:v>
      </x:c>
      <x:c r="C35" s="42" t="n">
        <x:v>36</x:v>
      </x:c>
      <x:c r="D35" s="42" t="n">
        <x:v>19</x:v>
      </x:c>
      <x:c r="E35" s="42" t="n">
        <x:v>-17</x:v>
      </x:c>
      <x:c r="F35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35" s="31" t="str">
        <x:v>https://static.clubs.nfl.com/image/upload/packers/zu3fdftopjkj8hkcwckc</x:v>
      </x:c>
      <x:c r="H35" s="31" t="str">
        <x:v>2026-09-24 7:40 PM CT</x:v>
      </x:c>
    </x:row>
    <x:row r="36" ht="45" customHeight="1">
      <x:c r="A36" t="str">
        <x:v>MarShawn Lloyd</x:v>
      </x:c>
      <x:c r="B36" t="str">
        <x:v>Teammate Redistribution</x:v>
      </x:c>
      <x:c r="C36" s="42" t="n">
        <x:v>1.08</x:v>
      </x:c>
      <x:c r="D36" s="42" t="n">
        <x:v>1</x:v>
      </x:c>
      <x:c r="E36" s="42" t="n">
        <x:v>-0.08000000000000007</x:v>
      </x:c>
      <x:c r="F36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36" s="31" t="str">
        <x:v>https://static.clubs.nfl.com/image/upload/packers/zu3fdftopjkj8hkcwckc</x:v>
      </x:c>
      <x:c r="H36" s="31" t="str">
        <x:v>2026-09-24 7:40 PM CT</x:v>
      </x:c>
    </x:row>
    <x:row r="37" ht="45" customHeight="1">
      <x:c r="A37" t="str">
        <x:v>MarShawn Lloyd</x:v>
      </x:c>
      <x:c r="B37" t="str">
        <x:v>RB Carries</x:v>
      </x:c>
      <x:c r="C37" s="42" t="n">
        <x:v>7.631578947368421</x:v>
      </x:c>
      <x:c r="D37" s="42" t="n">
        <x:v>7</x:v>
      </x:c>
      <x:c r="E37" s="42" t="n">
        <x:v>-0.6315789473684212</x:v>
      </x:c>
      <x:c r="F37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37" s="31" t="str">
        <x:v>https://static.clubs.nfl.com/image/upload/packers/zu3fdftopjkj8hkcwckc</x:v>
      </x:c>
      <x:c r="H37" s="31" t="str">
        <x:v>2026-09-24 7:40 PM CT</x:v>
      </x:c>
    </x:row>
    <x:row r="38" ht="45" customHeight="1">
      <x:c r="A38" t="str">
        <x:v>MarShawn Lloyd</x:v>
      </x:c>
      <x:c r="B38" t="str">
        <x:v>RB Rush Yds</x:v>
      </x:c>
      <x:c r="C38" s="42" t="n">
        <x:v>35.07685020242915</x:v>
      </x:c>
      <x:c r="D38" s="42" t="n">
        <x:v>28</x:v>
      </x:c>
      <x:c r="E38" s="42" t="n">
        <x:v>-7.076850202429149</x:v>
      </x:c>
      <x:c r="F38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38" s="31" t="str">
        <x:v>https://static.clubs.nfl.com/image/upload/packers/zu3fdftopjkj8hkcwckc</x:v>
      </x:c>
      <x:c r="H38" s="31" t="str">
        <x:v>2026-09-24 7:40 PM CT</x:v>
      </x:c>
    </x:row>
    <x:row r="39" ht="45" customHeight="1">
      <x:c r="A39" t="str">
        <x:v>MarShawn Lloyd</x:v>
      </x:c>
      <x:c r="B39" t="str">
        <x:v>RB Rush TD</x:v>
      </x:c>
      <x:c r="C39" s="42" t="n">
        <x:v>0.2419093117408907</x:v>
      </x:c>
      <x:c r="D39" s="42" t="n">
        <x:v>0.12</x:v>
      </x:c>
      <x:c r="E39" s="42" t="n">
        <x:v>-0.1219093117408907</x:v>
      </x:c>
      <x:c r="F39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39" s="31" t="str">
        <x:v>https://static.clubs.nfl.com/image/upload/packers/zu3fdftopjkj8hkcwckc</x:v>
      </x:c>
      <x:c r="H39" s="31" t="str">
        <x:v>2026-09-24 7:40 PM CT</x:v>
      </x:c>
    </x:row>
    <x:row r="40" ht="45" customHeight="1">
      <x:c r="A40" t="str">
        <x:v>MarShawn Lloyd</x:v>
      </x:c>
      <x:c r="B40" t="str">
        <x:v>Role Value</x:v>
      </x:c>
      <x:c r="C40" s="42" t="n">
        <x:v>9.686234817813766</x:v>
      </x:c>
      <x:c r="D40" s="42" t="n">
        <x:v>8.5</x:v>
      </x:c>
      <x:c r="E40" s="42" t="n">
        <x:v>-1.1862348178137658</x:v>
      </x:c>
      <x:c r="F40" s="31" t="str">
        <x:v>Corrected pregame workload model; no Week 3 results used. Week 2 gamebook: Watson 11 targets, Golden 6; forecast routes capped by 34 dropbacks. Team stat budget replaces additive route transfer. 5–9 carries,1–2 targets; sit in ordinary12-team formats,hold if bench allows. Fumble is verified; permanent benching is not.</x:v>
      </x:c>
      <x:c r="G40" s="31" t="str">
        <x:v>https://static.clubs.nfl.com/image/upload/packers/zu3fdftopjkj8hkcwckc</x:v>
      </x:c>
      <x:c r="H40" s="31" t="str">
        <x:v>2026-09-24 7:40 PM CT</x:v>
      </x:c>
    </x:row>
    <x:row r="41" ht="45" customHeight="1">
      <x:c r="A41" t="str">
        <x:v>Kaleb Johnson</x:v>
      </x:c>
      <x:c r="B41" t="str">
        <x:v>Targets</x:v>
      </x:c>
      <x:c r="C41" s="42" t="n">
        <x:v>1.1825617555594672</x:v>
      </x:c>
      <x:c r="D41" s="42" t="n">
        <x:v>0.7</x:v>
      </x:c>
      <x:c r="E41" s="42" t="n">
        <x:v>-0.48256175555946723</x:v>
      </x:c>
      <x:c r="F41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41" s="31" t="str">
        <x:v>https://static.clubs.nfl.com/image/upload/packers/zu3fdftopjkj8hkcwckc</x:v>
      </x:c>
      <x:c r="H41" s="31" t="str">
        <x:v>2026-09-24 7:40 PM CT</x:v>
      </x:c>
    </x:row>
    <x:row r="42" ht="45" customHeight="1">
      <x:c r="A42" t="str">
        <x:v>Kaleb Johnson</x:v>
      </x:c>
      <x:c r="B42" t="str">
        <x:v>Receptions</x:v>
      </x:c>
      <x:c r="C42" s="42" t="n">
        <x:v>0.9122619257173035</x:v>
      </x:c>
      <x:c r="D42" s="42" t="n">
        <x:v>0.5</x:v>
      </x:c>
      <x:c r="E42" s="42" t="n">
        <x:v>-0.41226192571730347</x:v>
      </x:c>
      <x:c r="F42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42" s="31" t="str">
        <x:v>https://static.clubs.nfl.com/image/upload/packers/zu3fdftopjkj8hkcwckc</x:v>
      </x:c>
      <x:c r="H42" s="31" t="str">
        <x:v>2026-09-24 7:40 PM CT</x:v>
      </x:c>
    </x:row>
    <x:row r="43" ht="45" customHeight="1">
      <x:c r="A43" t="str">
        <x:v>Kaleb Johnson</x:v>
      </x:c>
      <x:c r="B43" t="str">
        <x:v>Receiving Yds</x:v>
      </x:c>
      <x:c r="C43" s="42" t="n">
        <x:v>7.657729329343427</x:v>
      </x:c>
      <x:c r="D43" s="42" t="n">
        <x:v>4</x:v>
      </x:c>
      <x:c r="E43" s="42" t="n">
        <x:v>-3.657729329343427</x:v>
      </x:c>
      <x:c r="F43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43" s="31" t="str">
        <x:v>https://static.clubs.nfl.com/image/upload/packers/zu3fdftopjkj8hkcwckc</x:v>
      </x:c>
      <x:c r="H43" s="31" t="str">
        <x:v>2026-09-24 7:40 PM CT</x:v>
      </x:c>
    </x:row>
    <x:row r="44" ht="45" customHeight="1">
      <x:c r="A44" t="str">
        <x:v>Kaleb Johnson</x:v>
      </x:c>
      <x:c r="B44" t="str">
        <x:v>Receiving TD</x:v>
      </x:c>
      <x:c r="C44" s="42" t="n">
        <x:v>0.03480786058792466</x:v>
      </x:c>
      <x:c r="D44" s="42" t="n">
        <x:v>0.015</x:v>
      </x:c>
      <x:c r="E44" s="42" t="n">
        <x:v>-0.019807860587924664</x:v>
      </x:c>
      <x:c r="F44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44" s="31" t="str">
        <x:v>https://static.clubs.nfl.com/image/upload/packers/zu3fdftopjkj8hkcwckc</x:v>
      </x:c>
      <x:c r="H44" s="31" t="str">
        <x:v>2026-09-24 7:40 PM CT</x:v>
      </x:c>
    </x:row>
    <x:row r="45" ht="45" customHeight="1">
      <x:c r="A45" t="str">
        <x:v>Kaleb Johnson</x:v>
      </x:c>
      <x:c r="B45" t="str">
        <x:v>Routes</x:v>
      </x:c>
      <x:c r="C45" s="42" t="n">
        <x:v>0</x:v>
      </x:c>
      <x:c r="D45" s="42" t="n">
        <x:v>6</x:v>
      </x:c>
      <x:c r="E45" s="42" t="n">
        <x:v>6</x:v>
      </x:c>
      <x:c r="F45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45" s="31" t="str">
        <x:v>https://static.clubs.nfl.com/image/upload/packers/zu3fdftopjkj8hkcwckc</x:v>
      </x:c>
      <x:c r="H45" s="31" t="str">
        <x:v>2026-09-24 7:40 PM CT</x:v>
      </x:c>
    </x:row>
    <x:row r="46" ht="45" customHeight="1">
      <x:c r="A46" t="str">
        <x:v>Kaleb Johnson</x:v>
      </x:c>
      <x:c r="B46" t="str">
        <x:v>Route %</x:v>
      </x:c>
      <x:c r="C46" s="42" t="n">
        <x:v>0</x:v>
      </x:c>
      <x:c r="D46" s="42" t="n">
        <x:v>0.17647058823529413</x:v>
      </x:c>
      <x:c r="E46" s="42" t="n">
        <x:v>0.17647058823529413</x:v>
      </x:c>
      <x:c r="F46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46" s="31" t="str">
        <x:v>https://static.clubs.nfl.com/image/upload/packers/zu3fdftopjkj8hkcwckc</x:v>
      </x:c>
      <x:c r="H46" s="31" t="str">
        <x:v>2026-09-24 7:40 PM CT</x:v>
      </x:c>
    </x:row>
    <x:row r="47" ht="45" customHeight="1">
      <x:c r="A47" t="str">
        <x:v>Kaleb Johnson</x:v>
      </x:c>
      <x:c r="B47" t="str">
        <x:v>Role Value</x:v>
      </x:c>
      <x:c r="C47" s="42" t="n">
        <x:v>4.809716599190284</x:v>
      </x:c>
      <x:c r="D47" s="42" t="n">
        <x:v>6</x:v>
      </x:c>
      <x:c r="E47" s="42" t="n">
        <x:v>1.190283400809716</x:v>
      </x:c>
      <x:c r="F47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47" s="31" t="str">
        <x:v>https://static.clubs.nfl.com/image/upload/packers/zu3fdftopjkj8hkcwckc</x:v>
      </x:c>
      <x:c r="H47" s="31" t="str">
        <x:v>2026-09-24 7:40 PM CT</x:v>
      </x:c>
    </x:row>
    <x:row r="48" ht="45" customHeight="1">
      <x:c r="A48" t="str">
        <x:v>Kaleb Johnson</x:v>
      </x:c>
      <x:c r="B48" t="str">
        <x:v>Expected Snaps</x:v>
      </x:c>
      <x:c r="C48" s="42" t="n">
        <x:v>36</x:v>
      </x:c>
      <x:c r="D48" s="42" t="n">
        <x:v>22</x:v>
      </x:c>
      <x:c r="E48" s="42" t="n">
        <x:v>-14</x:v>
      </x:c>
      <x:c r="F48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48" s="31" t="str">
        <x:v>https://static.clubs.nfl.com/image/upload/packers/zu3fdftopjkj8hkcwckc</x:v>
      </x:c>
      <x:c r="H48" s="31" t="str">
        <x:v>2026-09-24 7:40 PM CT</x:v>
      </x:c>
    </x:row>
    <x:row r="49" ht="45" customHeight="1">
      <x:c r="A49" t="str">
        <x:v>Kaleb Johnson</x:v>
      </x:c>
      <x:c r="B49" t="str">
        <x:v>Teammate Redistribution</x:v>
      </x:c>
      <x:c r="C49" s="42" t="n">
        <x:v>1.08</x:v>
      </x:c>
      <x:c r="D49" s="42" t="n">
        <x:v>1</x:v>
      </x:c>
      <x:c r="E49" s="42" t="n">
        <x:v>-0.08000000000000007</x:v>
      </x:c>
      <x:c r="F49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49" s="31" t="str">
        <x:v>https://static.clubs.nfl.com/image/upload/packers/zu3fdftopjkj8hkcwckc</x:v>
      </x:c>
      <x:c r="H49" s="31" t="str">
        <x:v>2026-09-24 7:40 PM CT</x:v>
      </x:c>
    </x:row>
    <x:row r="50" ht="45" customHeight="1">
      <x:c r="A50" t="str">
        <x:v>Kaleb Johnson</x:v>
      </x:c>
      <x:c r="B50" t="str">
        <x:v>RB Carries</x:v>
      </x:c>
      <x:c r="C50" s="42" t="n">
        <x:v>3.7894736842105265</x:v>
      </x:c>
      <x:c r="D50" s="42" t="n">
        <x:v>10</x:v>
      </x:c>
      <x:c r="E50" s="42" t="n">
        <x:v>6.2105263157894735</x:v>
      </x:c>
      <x:c r="F50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50" s="31" t="str">
        <x:v>https://static.clubs.nfl.com/image/upload/packers/zu3fdftopjkj8hkcwckc</x:v>
      </x:c>
      <x:c r="H50" s="31" t="str">
        <x:v>2026-09-24 7:40 PM CT</x:v>
      </x:c>
    </x:row>
    <x:row r="51" ht="45" customHeight="1">
      <x:c r="A51" t="str">
        <x:v>Kaleb Johnson</x:v>
      </x:c>
      <x:c r="B51" t="str">
        <x:v>RB Rush Yds</x:v>
      </x:c>
      <x:c r="C51" s="42" t="n">
        <x:v>17.41747044534413</x:v>
      </x:c>
      <x:c r="D51" s="42" t="n">
        <x:v>40</x:v>
      </x:c>
      <x:c r="E51" s="42" t="n">
        <x:v>22.58252955465587</x:v>
      </x:c>
      <x:c r="F51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51" s="31" t="str">
        <x:v>https://static.clubs.nfl.com/image/upload/packers/zu3fdftopjkj8hkcwckc</x:v>
      </x:c>
      <x:c r="H51" s="31" t="str">
        <x:v>2026-09-24 7:40 PM CT</x:v>
      </x:c>
    </x:row>
    <x:row r="52" ht="45" customHeight="1">
      <x:c r="A52" t="str">
        <x:v>Kaleb Johnson</x:v>
      </x:c>
      <x:c r="B52" t="str">
        <x:v>RB Rush TD</x:v>
      </x:c>
      <x:c r="C52" s="42" t="n">
        <x:v>0.12012048582995953</x:v>
      </x:c>
      <x:c r="D52" s="42" t="n">
        <x:v>0.18</x:v>
      </x:c>
      <x:c r="E52" s="42" t="n">
        <x:v>0.05987951417004046</x:v>
      </x:c>
      <x:c r="F52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52" s="31" t="str">
        <x:v>https://static.clubs.nfl.com/image/upload/packers/zu3fdftopjkj8hkcwckc</x:v>
      </x:c>
      <x:c r="H52" s="31" t="str">
        <x:v>2026-09-24 7:40 PM CT</x:v>
      </x:c>
    </x:row>
    <x:row r="53" ht="45" customHeight="1">
      <x:c r="A53" t="str">
        <x:v>Kaleb Johnson</x:v>
      </x:c>
      <x:c r="B53" t="str">
        <x:v>Role Value</x:v>
      </x:c>
      <x:c r="C53" s="42" t="n">
        <x:v>4.809716599190284</x:v>
      </x:c>
      <x:c r="D53" s="42" t="n">
        <x:v>10.7</x:v>
      </x:c>
      <x:c r="E53" s="42" t="n">
        <x:v>5.890283400809715</x:v>
      </x:c>
      <x:c r="F53" s="31" t="str">
        <x:v>Corrected pregame workload model; no Week 3 results used. Week 2 gamebook: Watson 11 targets, Golden 6; forecast routes capped by 34 dropbacks. Team stat budget replaces additive route transfer. 8–12 carries with committee risk. Hold; deep-league emergency only.</x:v>
      </x:c>
      <x:c r="G53" s="31" t="str">
        <x:v>https://static.clubs.nfl.com/image/upload/packers/zu3fdftopjkj8hkcwckc</x:v>
      </x:c>
      <x:c r="H53" s="31" t="str">
        <x:v>2026-09-24 7:40 PM CT</x:v>
      </x:c>
    </x:row>
    <x:row r="54" ht="45" customHeight="1">
      <x:c r="A54" t="str">
        <x:v>Chris Brooks</x:v>
      </x:c>
      <x:c r="B54" t="str">
        <x:v>Targets</x:v>
      </x:c>
      <x:c r="C54" s="42" t="n">
        <x:v>1.0125212697295076</x:v>
      </x:c>
      <x:c r="D54" s="42" t="n">
        <x:v>1.5</x:v>
      </x:c>
      <x:c r="E54" s="42" t="n">
        <x:v>0.4874787302704924</x:v>
      </x:c>
      <x:c r="F54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54" s="31" t="str">
        <x:v>https://static.clubs.nfl.com/image/upload/packers/zu3fdftopjkj8hkcwckc</x:v>
      </x:c>
      <x:c r="H54" s="31" t="str">
        <x:v>2026-09-24 7:40 PM CT</x:v>
      </x:c>
    </x:row>
    <x:row r="55" ht="45" customHeight="1">
      <x:c r="A55" t="str">
        <x:v>Chris Brooks</x:v>
      </x:c>
      <x:c r="B55" t="str">
        <x:v>Receptions</x:v>
      </x:c>
      <x:c r="C55" s="42" t="n">
        <x:v>0.7810878366484775</x:v>
      </x:c>
      <x:c r="D55" s="42" t="n">
        <x:v>1.3</x:v>
      </x:c>
      <x:c r="E55" s="42" t="n">
        <x:v>0.5189121633515226</x:v>
      </x:c>
      <x:c r="F55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55" s="31" t="str">
        <x:v>https://static.clubs.nfl.com/image/upload/packers/zu3fdftopjkj8hkcwckc</x:v>
      </x:c>
      <x:c r="H55" s="31" t="str">
        <x:v>2026-09-24 7:40 PM CT</x:v>
      </x:c>
    </x:row>
    <x:row r="56" ht="45" customHeight="1">
      <x:c r="A56" t="str">
        <x:v>Chris Brooks</x:v>
      </x:c>
      <x:c r="B56" t="str">
        <x:v>Receiving Yds</x:v>
      </x:c>
      <x:c r="C56" s="42" t="n">
        <x:v>6.556624875902131</x:v>
      </x:c>
      <x:c r="D56" s="42" t="n">
        <x:v>10</x:v>
      </x:c>
      <x:c r="E56" s="42" t="n">
        <x:v>3.4433751240978694</x:v>
      </x:c>
      <x:c r="F56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56" s="31" t="str">
        <x:v>https://static.clubs.nfl.com/image/upload/packers/zu3fdftopjkj8hkcwckc</x:v>
      </x:c>
      <x:c r="H56" s="31" t="str">
        <x:v>2026-09-24 7:40 PM CT</x:v>
      </x:c>
    </x:row>
    <x:row r="57" ht="45" customHeight="1">
      <x:c r="A57" t="str">
        <x:v>Chris Brooks</x:v>
      </x:c>
      <x:c r="B57" t="str">
        <x:v>Receiving TD</x:v>
      </x:c>
      <x:c r="C57" s="42" t="n">
        <x:v>0.029802840345009688</x:v>
      </x:c>
      <x:c r="D57" s="42" t="n">
        <x:v>0.035</x:v>
      </x:c>
      <x:c r="E57" s="42" t="n">
        <x:v>0.005197159654990315</x:v>
      </x:c>
      <x:c r="F57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57" s="31" t="str">
        <x:v>https://static.clubs.nfl.com/image/upload/packers/zu3fdftopjkj8hkcwckc</x:v>
      </x:c>
      <x:c r="H57" s="31" t="str">
        <x:v>2026-09-24 7:40 PM CT</x:v>
      </x:c>
    </x:row>
    <x:row r="58" ht="45" customHeight="1">
      <x:c r="A58" t="str">
        <x:v>Chris Brooks</x:v>
      </x:c>
      <x:c r="B58" t="str">
        <x:v>Routes</x:v>
      </x:c>
      <x:c r="C58" s="42" t="n">
        <x:v>0</x:v>
      </x:c>
      <x:c r="D58" s="42" t="n">
        <x:v>14</x:v>
      </x:c>
      <x:c r="E58" s="42" t="n">
        <x:v>14</x:v>
      </x:c>
      <x:c r="F58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58" s="31" t="str">
        <x:v>https://static.clubs.nfl.com/image/upload/packers/zu3fdftopjkj8hkcwckc</x:v>
      </x:c>
      <x:c r="H58" s="31" t="str">
        <x:v>2026-09-24 7:40 PM CT</x:v>
      </x:c>
    </x:row>
    <x:row r="59" ht="45" customHeight="1">
      <x:c r="A59" t="str">
        <x:v>Chris Brooks</x:v>
      </x:c>
      <x:c r="B59" t="str">
        <x:v>Route %</x:v>
      </x:c>
      <x:c r="C59" s="42" t="n">
        <x:v>0</x:v>
      </x:c>
      <x:c r="D59" s="42" t="n">
        <x:v>0.4117647058823529</x:v>
      </x:c>
      <x:c r="E59" s="42" t="n">
        <x:v>0.4117647058823529</x:v>
      </x:c>
      <x:c r="F59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59" s="31" t="str">
        <x:v>https://static.clubs.nfl.com/image/upload/packers/zu3fdftopjkj8hkcwckc</x:v>
      </x:c>
      <x:c r="H59" s="31" t="str">
        <x:v>2026-09-24 7:40 PM CT</x:v>
      </x:c>
    </x:row>
    <x:row r="60" ht="45" customHeight="1">
      <x:c r="A60" t="str">
        <x:v>Chris Brooks</x:v>
      </x:c>
      <x:c r="B60" t="str">
        <x:v>Role Value</x:v>
      </x:c>
      <x:c r="C60" s="42" t="n">
        <x:v>4.008097165991903</x:v>
      </x:c>
      <x:c r="D60" s="42" t="n">
        <x:v>14</x:v>
      </x:c>
      <x:c r="E60" s="42" t="n">
        <x:v>9.991902834008098</x:v>
      </x:c>
      <x:c r="F60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60" s="31" t="str">
        <x:v>https://static.clubs.nfl.com/image/upload/packers/zu3fdftopjkj8hkcwckc</x:v>
      </x:c>
      <x:c r="H60" s="31" t="str">
        <x:v>2026-09-24 7:40 PM CT</x:v>
      </x:c>
    </x:row>
    <x:row r="61" ht="45" customHeight="1">
      <x:c r="A61" t="str">
        <x:v>Chris Brooks</x:v>
      </x:c>
      <x:c r="B61" t="str">
        <x:v>Expected Snaps</x:v>
      </x:c>
      <x:c r="C61" s="42" t="n">
        <x:v>36</x:v>
      </x:c>
      <x:c r="D61" s="42" t="n">
        <x:v>27</x:v>
      </x:c>
      <x:c r="E61" s="42" t="n">
        <x:v>-9</x:v>
      </x:c>
      <x:c r="F61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61" s="31" t="str">
        <x:v>https://static.clubs.nfl.com/image/upload/packers/zu3fdftopjkj8hkcwckc</x:v>
      </x:c>
      <x:c r="H61" s="31" t="str">
        <x:v>2026-09-24 7:40 PM CT</x:v>
      </x:c>
    </x:row>
    <x:row r="62" ht="45" customHeight="1">
      <x:c r="A62" t="str">
        <x:v>Chris Brooks</x:v>
      </x:c>
      <x:c r="B62" t="str">
        <x:v>Teammate Redistribution</x:v>
      </x:c>
      <x:c r="C62" s="42" t="n">
        <x:v>1.08</x:v>
      </x:c>
      <x:c r="D62" s="42" t="n">
        <x:v>1</x:v>
      </x:c>
      <x:c r="E62" s="42" t="n">
        <x:v>-0.08000000000000007</x:v>
      </x:c>
      <x:c r="F62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62" s="31" t="str">
        <x:v>https://static.clubs.nfl.com/image/upload/packers/zu3fdftopjkj8hkcwckc</x:v>
      </x:c>
      <x:c r="H62" s="31" t="str">
        <x:v>2026-09-24 7:40 PM CT</x:v>
      </x:c>
    </x:row>
    <x:row r="63" ht="45" customHeight="1">
      <x:c r="A63" t="str">
        <x:v>Chris Brooks</x:v>
      </x:c>
      <x:c r="B63" t="str">
        <x:v>RB Carries</x:v>
      </x:c>
      <x:c r="C63" s="42" t="n">
        <x:v>3.1578947368421053</x:v>
      </x:c>
      <x:c r="D63" s="42" t="n">
        <x:v>4</x:v>
      </x:c>
      <x:c r="E63" s="42" t="n">
        <x:v>0.8421052631578947</x:v>
      </x:c>
      <x:c r="F63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63" s="31" t="str">
        <x:v>https://static.clubs.nfl.com/image/upload/packers/zu3fdftopjkj8hkcwckc</x:v>
      </x:c>
      <x:c r="H63" s="31" t="str">
        <x:v>2026-09-24 7:40 PM CT</x:v>
      </x:c>
    </x:row>
    <x:row r="64" ht="45" customHeight="1">
      <x:c r="A64" t="str">
        <x:v>Chris Brooks</x:v>
      </x:c>
      <x:c r="B64" t="str">
        <x:v>RB Rush Yds</x:v>
      </x:c>
      <x:c r="C64" s="42" t="n">
        <x:v>14.514558704453442</x:v>
      </x:c>
      <x:c r="D64" s="42" t="n">
        <x:v>17</x:v>
      </x:c>
      <x:c r="E64" s="42" t="n">
        <x:v>2.4854412955465577</x:v>
      </x:c>
      <x:c r="F64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64" s="31" t="str">
        <x:v>https://static.clubs.nfl.com/image/upload/packers/zu3fdftopjkj8hkcwckc</x:v>
      </x:c>
      <x:c r="H64" s="31" t="str">
        <x:v>2026-09-24 7:40 PM CT</x:v>
      </x:c>
    </x:row>
    <x:row r="65" ht="45" customHeight="1">
      <x:c r="A65" t="str">
        <x:v>Chris Brooks</x:v>
      </x:c>
      <x:c r="B65" t="str">
        <x:v>RB Rush TD</x:v>
      </x:c>
      <x:c r="C65" s="42" t="n">
        <x:v>0.10010040485829962</x:v>
      </x:c>
      <x:c r="D65" s="42" t="n">
        <x:v>0.05</x:v>
      </x:c>
      <x:c r="E65" s="42" t="n">
        <x:v>-0.05010040485829961</x:v>
      </x:c>
      <x:c r="F65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65" s="31" t="str">
        <x:v>https://static.clubs.nfl.com/image/upload/packers/zu3fdftopjkj8hkcwckc</x:v>
      </x:c>
      <x:c r="H65" s="31" t="str">
        <x:v>2026-09-24 7:40 PM CT</x:v>
      </x:c>
    </x:row>
    <x:row r="66" ht="45" customHeight="1">
      <x:c r="A66" t="str">
        <x:v>Chris Brooks</x:v>
      </x:c>
      <x:c r="B66" t="str">
        <x:v>Role Value</x:v>
      </x:c>
      <x:c r="C66" s="42" t="n">
        <x:v>4.008097165991903</x:v>
      </x:c>
      <x:c r="D66" s="42" t="n">
        <x:v>5.5</x:v>
      </x:c>
      <x:c r="E66" s="42" t="n">
        <x:v>1.4919028340080969</x:v>
      </x:c>
      <x:c r="F66" s="31" t="str">
        <x:v>Corrected pregame workload model; no Week 3 results used. Week 2 gamebook: Watson 11 targets, Golden 6; forecast routes capped by 34 dropbacks. Team stat budget replaces additive route transfer. Protection/two-minute involvement does not guarantee targets. Monitor.</x:v>
      </x:c>
      <x:c r="G66" s="31" t="str">
        <x:v>https://static.clubs.nfl.com/image/upload/packers/zu3fdftopjkj8hkcwckc</x:v>
      </x:c>
      <x:c r="H66" s="31" t="str">
        <x:v>2026-09-24 7:40 PM CT</x:v>
      </x:c>
    </x:row>
    <x:row r="67" ht="45" customHeight="1">
      <x:c r="A67" t="str">
        <x:v>Jameis Winston</x:v>
      </x:c>
      <x:c r="B67" t="str">
        <x:v>Comp</x:v>
      </x:c>
      <x:c r="C67" s="42" t="n">
        <x:v>20.5</x:v>
      </x:c>
      <x:c r="D67" s="42" t="n">
        <x:v>19</x:v>
      </x:c>
      <x:c r="E67" s="42" t="n">
        <x:v>-1.5</x:v>
      </x:c>
      <x:c r="F67" s="31" t="str">
        <x:v>Giants backup now confirmed starter. Relief11/27,111yards,0TD,1INT; full-week preparation permits regression to59.4% completions,6.63YPA, but lower rushing and greater turnover risk than inherited model. Not an automatic1QB start.</x:v>
      </x:c>
      <x:c r="G67" s="31" t="str">
        <x:v>https://www.giants.com/news/jaxson-dart-to-miss-rest-of-regular-season-jameis-winston-to-start-quarterback-injury-john-harbaugh</x:v>
      </x:c>
      <x:c r="H67" s="31" t="str">
        <x:v>2026-09-24 7:40 PM CT</x:v>
      </x:c>
    </x:row>
    <x:row r="68" ht="45" customHeight="1">
      <x:c r="A68" t="str">
        <x:v>Jameis Winston</x:v>
      </x:c>
      <x:c r="B68" t="str">
        <x:v>Pass Yds</x:v>
      </x:c>
      <x:c r="C68" s="42" t="n">
        <x:v>248.71679999999992</x:v>
      </x:c>
      <x:c r="D68" s="42" t="n">
        <x:v>212</x:v>
      </x:c>
      <x:c r="E68" s="42" t="n">
        <x:v>-36.71679999999992</x:v>
      </x:c>
      <x:c r="F68" s="31" t="str">
        <x:v>Giants backup now confirmed starter. Relief11/27,111yards,0TD,1INT; full-week preparation permits regression to59.4% completions,6.63YPA, but lower rushing and greater turnover risk than inherited model. Not an automatic1QB start.</x:v>
      </x:c>
      <x:c r="G68" s="31" t="str">
        <x:v>https://www.giants.com/news/jaxson-dart-to-miss-rest-of-regular-season-jameis-winston-to-start-quarterback-injury-john-harbaugh</x:v>
      </x:c>
      <x:c r="H68" s="31" t="str">
        <x:v>2026-09-24 7:40 PM CT</x:v>
      </x:c>
    </x:row>
    <x:row r="69" ht="45" customHeight="1">
      <x:c r="A69" t="str">
        <x:v>Jameis Winston</x:v>
      </x:c>
      <x:c r="B69" t="str">
        <x:v>Pass TD</x:v>
      </x:c>
      <x:c r="C69" s="42" t="n">
        <x:v>1.12608</x:v>
      </x:c>
      <x:c r="D69" s="42" t="n">
        <x:v>1.2</x:v>
      </x:c>
      <x:c r="E69" s="42" t="n">
        <x:v>0.07391999999999999</x:v>
      </x:c>
      <x:c r="F69" s="31" t="str">
        <x:v>Giants backup now confirmed starter. Relief11/27,111yards,0TD,1INT; full-week preparation permits regression to59.4% completions,6.63YPA, but lower rushing and greater turnover risk than inherited model. Not an automatic1QB start.</x:v>
      </x:c>
      <x:c r="G69" s="31" t="str">
        <x:v>https://www.giants.com/news/jaxson-dart-to-miss-rest-of-regular-season-jameis-winston-to-start-quarterback-injury-john-harbaugh</x:v>
      </x:c>
      <x:c r="H69" s="31" t="str">
        <x:v>2026-09-24 7:40 PM CT</x:v>
      </x:c>
    </x:row>
    <x:row r="70" ht="45" customHeight="1">
      <x:c r="A70" t="str">
        <x:v>Jameis Winston</x:v>
      </x:c>
      <x:c r="B70" t="str">
        <x:v>INT</x:v>
      </x:c>
      <x:c r="C70" s="42" t="n">
        <x:v>0.75</x:v>
      </x:c>
      <x:c r="D70" s="42" t="n">
        <x:v>1.15</x:v>
      </x:c>
      <x:c r="E70" s="42" t="n">
        <x:v>0.3999999999999999</x:v>
      </x:c>
      <x:c r="F70" s="31" t="str">
        <x:v>Giants backup now confirmed starter. Relief11/27,111yards,0TD,1INT; full-week preparation permits regression to59.4% completions,6.63YPA, but lower rushing and greater turnover risk than inherited model. Not an automatic1QB start.</x:v>
      </x:c>
      <x:c r="G70" s="31" t="str">
        <x:v>https://www.giants.com/news/jaxson-dart-to-miss-rest-of-regular-season-jameis-winston-to-start-quarterback-injury-john-harbaugh</x:v>
      </x:c>
      <x:c r="H70" s="31" t="str">
        <x:v>2026-09-24 7:40 PM CT</x:v>
      </x:c>
    </x:row>
    <x:row r="71" ht="45" customHeight="1">
      <x:c r="A71" t="str">
        <x:v>Jameis Winston</x:v>
      </x:c>
      <x:c r="B71" t="str">
        <x:v>QB/WR Rush Att</x:v>
      </x:c>
      <x:c r="C71" s="42" t="n">
        <x:v>4.2</x:v>
      </x:c>
      <x:c r="D71" s="42" t="n">
        <x:v>2</x:v>
      </x:c>
      <x:c r="E71" s="42" t="n">
        <x:v>-2.2</x:v>
      </x:c>
      <x:c r="F71" s="31" t="str">
        <x:v>Giants backup now confirmed starter. Relief11/27,111yards,0TD,1INT; full-week preparation permits regression to59.4% completions,6.63YPA, but lower rushing and greater turnover risk than inherited model. Not an automatic1QB start.</x:v>
      </x:c>
      <x:c r="G71" s="31" t="str">
        <x:v>https://www.giants.com/news/jaxson-dart-to-miss-rest-of-regular-season-jameis-winston-to-start-quarterback-injury-john-harbaugh</x:v>
      </x:c>
      <x:c r="H71" s="31" t="str">
        <x:v>2026-09-24 7:40 PM CT</x:v>
      </x:c>
    </x:row>
    <x:row r="72" ht="45" customHeight="1">
      <x:c r="A72" t="str">
        <x:v>Jameis Winston</x:v>
      </x:c>
      <x:c r="B72" t="str">
        <x:v>QB/WR Rush Yds</x:v>
      </x:c>
      <x:c r="C72" s="42" t="n">
        <x:v>22.5216</x:v>
      </x:c>
      <x:c r="D72" s="42" t="n">
        <x:v>8</x:v>
      </x:c>
      <x:c r="E72" s="42" t="n">
        <x:v>-14.5216</x:v>
      </x:c>
      <x:c r="F72" s="31" t="str">
        <x:v>Giants backup now confirmed starter. Relief11/27,111yards,0TD,1INT; full-week preparation permits regression to59.4% completions,6.63YPA, but lower rushing and greater turnover risk than inherited model. Not an automatic1QB start.</x:v>
      </x:c>
      <x:c r="G72" s="31" t="str">
        <x:v>https://www.giants.com/news/jaxson-dart-to-miss-rest-of-regular-season-jameis-winston-to-start-quarterback-injury-john-harbaugh</x:v>
      </x:c>
      <x:c r="H72" s="31" t="str">
        <x:v>2026-09-24 7:40 PM CT</x:v>
      </x:c>
    </x:row>
    <x:row r="73" ht="45" customHeight="1">
      <x:c r="A73" t="str">
        <x:v>Jameis Winston</x:v>
      </x:c>
      <x:c r="B73" t="str">
        <x:v>QB/WR Rush TD</x:v>
      </x:c>
      <x:c r="C73" s="42" t="n">
        <x:v>0.13708800000000002</x:v>
      </x:c>
      <x:c r="D73" s="42" t="n">
        <x:v>0.03</x:v>
      </x:c>
      <x:c r="E73" s="42" t="n">
        <x:v>-0.10708800000000002</x:v>
      </x:c>
      <x:c r="F73" s="31" t="str">
        <x:v>Giants backup now confirmed starter. Relief11/27,111yards,0TD,1INT; full-week preparation permits regression to59.4% completions,6.63YPA, but lower rushing and greater turnover risk than inherited model. Not an automatic1QB start.</x:v>
      </x:c>
      <x:c r="G73" s="31" t="str">
        <x:v>https://www.giants.com/news/jaxson-dart-to-miss-rest-of-regular-season-jameis-winston-to-start-quarterback-injury-john-harbaugh</x:v>
      </x:c>
      <x:c r="H73" s="31" t="str">
        <x:v>2026-09-24 7:40 PM CT</x:v>
      </x:c>
    </x:row>
    <x:row r="74" ht="45" customHeight="1">
      <x:c r="A74" t="str">
        <x:v>Jameis Winston</x:v>
      </x:c>
      <x:c r="B74" t="str">
        <x:v>Expected Snaps</x:v>
      </x:c>
      <x:c r="C74" s="42" t="n">
        <x:v>62</x:v>
      </x:c>
      <x:c r="D74" s="42" t="n">
        <x:v>61</x:v>
      </x:c>
      <x:c r="E74" s="42" t="n">
        <x:v>-1</x:v>
      </x:c>
      <x:c r="F74" s="31" t="str">
        <x:v>Giants backup now confirmed starter. Relief11/27,111yards,0TD,1INT; full-week preparation permits regression to59.4% completions,6.63YPA, but lower rushing and greater turnover risk than inherited model. Not an automatic1QB start.</x:v>
      </x:c>
      <x:c r="G74" s="31" t="str">
        <x:v>https://www.giants.com/news/jaxson-dart-to-miss-rest-of-regular-season-jameis-winston-to-start-quarterback-injury-john-harbaugh</x:v>
      </x:c>
      <x:c r="H74" s="31" t="str">
        <x:v>2026-09-24 7:40 PM CT</x:v>
      </x:c>
    </x:row>
    <x:row r="75" ht="45" customHeight="1">
      <x:c r="A75" t="str">
        <x:v>Cam Skattebo</x:v>
      </x:c>
      <x:c r="B75" t="str">
        <x:v>Receptions</x:v>
      </x:c>
      <x:c r="C75" s="42" t="n">
        <x:v>2.14251012145749</x:v>
      </x:c>
      <x:c r="D75" s="42" t="n">
        <x:v>2.0353846153846153</x:v>
      </x:c>
      <x:c r="E75" s="42" t="n">
        <x:v>-0.10712550607287463</x:v>
      </x:c>
      <x:c r="F75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75" s="31" t="str">
        <x:v>https://www.giants.com/news/jaxson-dart-to-miss-rest-of-regular-season-jameis-winston-to-start-quarterback-injury-john-harbaugh</x:v>
      </x:c>
      <x:c r="H75" s="31" t="str">
        <x:v>2026-09-24 7:40 PM CT</x:v>
      </x:c>
    </x:row>
    <x:row r="76" ht="45" customHeight="1">
      <x:c r="A76" t="str">
        <x:v>Cam Skattebo</x:v>
      </x:c>
      <x:c r="B76" t="str">
        <x:v>Receiving Yds</x:v>
      </x:c>
      <x:c r="C76" s="42" t="n">
        <x:v>17.094374089068825</x:v>
      </x:c>
      <x:c r="D76" s="42" t="n">
        <x:v>15.384936680161942</x:v>
      </x:c>
      <x:c r="E76" s="42" t="n">
        <x:v>-1.709437408906883</x:v>
      </x:c>
      <x:c r="F76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76" s="31" t="str">
        <x:v>https://www.giants.com/news/jaxson-dart-to-miss-rest-of-regular-season-jameis-winston-to-start-quarterback-injury-john-harbaugh</x:v>
      </x:c>
      <x:c r="H76" s="31" t="str">
        <x:v>2026-09-24 7:40 PM CT</x:v>
      </x:c>
    </x:row>
    <x:row r="77" ht="45" customHeight="1">
      <x:c r="A77" t="str">
        <x:v>Cam Skattebo</x:v>
      </x:c>
      <x:c r="B77" t="str">
        <x:v>Receiving TD</x:v>
      </x:c>
      <x:c r="C77" s="42" t="n">
        <x:v>0.07770170040485831</x:v>
      </x:c>
      <x:c r="D77" s="42" t="n">
        <x:v>0.06604644534412957</x:v>
      </x:c>
      <x:c r="E77" s="42" t="n">
        <x:v>-0.011655255060728745</x:v>
      </x:c>
      <x:c r="F77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77" s="31" t="str">
        <x:v>https://www.giants.com/news/jaxson-dart-to-miss-rest-of-regular-season-jameis-winston-to-start-quarterback-injury-john-harbaugh</x:v>
      </x:c>
      <x:c r="H77" s="31" t="str">
        <x:v>2026-09-24 7:40 PM CT</x:v>
      </x:c>
    </x:row>
    <x:row r="78" ht="45" customHeight="1">
      <x:c r="A78" t="str">
        <x:v>Tyrone Tracy Jr.</x:v>
      </x:c>
      <x:c r="B78" t="str">
        <x:v>Receptions</x:v>
      </x:c>
      <x:c r="C78" s="42" t="n">
        <x:v>1.4210526315789473</x:v>
      </x:c>
      <x:c r="D78" s="42" t="n">
        <x:v>1.3499999999999999</x:v>
      </x:c>
      <x:c r="E78" s="42" t="n">
        <x:v>-0.07105263157894748</x:v>
      </x:c>
      <x:c r="F78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78" s="31" t="str">
        <x:v>https://www.giants.com/news/jaxson-dart-to-miss-rest-of-regular-season-jameis-winston-to-start-quarterback-injury-john-harbaugh</x:v>
      </x:c>
      <x:c r="H78" s="31" t="str">
        <x:v>2026-09-24 7:40 PM CT</x:v>
      </x:c>
    </x:row>
    <x:row r="79" ht="45" customHeight="1">
      <x:c r="A79" t="str">
        <x:v>Tyrone Tracy Jr.</x:v>
      </x:c>
      <x:c r="B79" t="str">
        <x:v>Receiving Yds</x:v>
      </x:c>
      <x:c r="C79" s="42" t="n">
        <x:v>11.338105263157892</x:v>
      </x:c>
      <x:c r="D79" s="42" t="n">
        <x:v>10.204294736842103</x:v>
      </x:c>
      <x:c r="E79" s="42" t="n">
        <x:v>-1.1338105263157896</x:v>
      </x:c>
      <x:c r="F79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79" s="31" t="str">
        <x:v>https://www.giants.com/news/jaxson-dart-to-miss-rest-of-regular-season-jameis-winston-to-start-quarterback-injury-john-harbaugh</x:v>
      </x:c>
      <x:c r="H79" s="31" t="str">
        <x:v>2026-09-24 7:40 PM CT</x:v>
      </x:c>
    </x:row>
    <x:row r="80" ht="45" customHeight="1">
      <x:c r="A80" t="str">
        <x:v>Tyrone Tracy Jr.</x:v>
      </x:c>
      <x:c r="B80" t="str">
        <x:v>Receiving TD</x:v>
      </x:c>
      <x:c r="C80" s="42" t="n">
        <x:v>0.05153684210526315</x:v>
      </x:c>
      <x:c r="D80" s="42" t="n">
        <x:v>0.04380631578947368</x:v>
      </x:c>
      <x:c r="E80" s="42" t="n">
        <x:v>-0.007730526315789472</x:v>
      </x:c>
      <x:c r="F80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80" s="31" t="str">
        <x:v>https://www.giants.com/news/jaxson-dart-to-miss-rest-of-regular-season-jameis-winston-to-start-quarterback-injury-john-harbaugh</x:v>
      </x:c>
      <x:c r="H80" s="31" t="str">
        <x:v>2026-09-24 7:40 PM CT</x:v>
      </x:c>
    </x:row>
    <x:row r="81" ht="45" customHeight="1">
      <x:c r="A81" t="str">
        <x:v>Najee Harris</x:v>
      </x:c>
      <x:c r="B81" t="str">
        <x:v>Receptions</x:v>
      </x:c>
      <x:c r="C81" s="42" t="n">
        <x:v>0.8526315789473684</x:v>
      </x:c>
      <x:c r="D81" s="42" t="n">
        <x:v>0.8099999999999999</x:v>
      </x:c>
      <x:c r="E81" s="42" t="n">
        <x:v>-0.042631578947368465</x:v>
      </x:c>
      <x:c r="F81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81" s="31" t="str">
        <x:v>https://www.giants.com/news/jaxson-dart-to-miss-rest-of-regular-season-jameis-winston-to-start-quarterback-injury-john-harbaugh</x:v>
      </x:c>
      <x:c r="H81" s="31" t="str">
        <x:v>2026-09-24 7:40 PM CT</x:v>
      </x:c>
    </x:row>
    <x:row r="82" ht="45" customHeight="1">
      <x:c r="A82" t="str">
        <x:v>Najee Harris</x:v>
      </x:c>
      <x:c r="B82" t="str">
        <x:v>Receiving Yds</x:v>
      </x:c>
      <x:c r="C82" s="42" t="n">
        <x:v>6.802863157894736</x:v>
      </x:c>
      <x:c r="D82" s="42" t="n">
        <x:v>6.122576842105262</x:v>
      </x:c>
      <x:c r="E82" s="42" t="n">
        <x:v>-0.6802863157894734</x:v>
      </x:c>
      <x:c r="F82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82" s="31" t="str">
        <x:v>https://www.giants.com/news/jaxson-dart-to-miss-rest-of-regular-season-jameis-winston-to-start-quarterback-injury-john-harbaugh</x:v>
      </x:c>
      <x:c r="H82" s="31" t="str">
        <x:v>2026-09-24 7:40 PM CT</x:v>
      </x:c>
    </x:row>
    <x:row r="83" ht="45" customHeight="1">
      <x:c r="A83" t="str">
        <x:v>Najee Harris</x:v>
      </x:c>
      <x:c r="B83" t="str">
        <x:v>Receiving TD</x:v>
      </x:c>
      <x:c r="C83" s="42" t="n">
        <x:v>0.030922105263157893</x:v>
      </x:c>
      <x:c r="D83" s="42" t="n">
        <x:v>0.02628378947368421</x:v>
      </x:c>
      <x:c r="E83" s="42" t="n">
        <x:v>-0.004638315789473685</x:v>
      </x:c>
      <x:c r="F83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83" s="31" t="str">
        <x:v>https://www.giants.com/news/jaxson-dart-to-miss-rest-of-regular-season-jameis-winston-to-start-quarterback-injury-john-harbaugh</x:v>
      </x:c>
      <x:c r="H83" s="31" t="str">
        <x:v>2026-09-24 7:40 PM CT</x:v>
      </x:c>
    </x:row>
    <x:row r="84" ht="45" customHeight="1">
      <x:c r="A84" t="str">
        <x:v>Devin Singletary</x:v>
      </x:c>
      <x:c r="B84" t="str">
        <x:v>Receptions</x:v>
      </x:c>
      <x:c r="C84" s="42" t="n">
        <x:v>0.5465587044534413</x:v>
      </x:c>
      <x:c r="D84" s="42" t="n">
        <x:v>0.5192307692307693</x:v>
      </x:c>
      <x:c r="E84" s="42" t="n">
        <x:v>-0.027327935222672073</x:v>
      </x:c>
      <x:c r="F84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84" s="31" t="str">
        <x:v>https://www.giants.com/news/jaxson-dart-to-miss-rest-of-regular-season-jameis-winston-to-start-quarterback-injury-john-harbaugh</x:v>
      </x:c>
      <x:c r="H84" s="31" t="str">
        <x:v>2026-09-24 7:40 PM CT</x:v>
      </x:c>
    </x:row>
    <x:row r="85" ht="45" customHeight="1">
      <x:c r="A85" t="str">
        <x:v>Devin Singletary</x:v>
      </x:c>
      <x:c r="B85" t="str">
        <x:v>Receiving Yds</x:v>
      </x:c>
      <x:c r="C85" s="42" t="n">
        <x:v>4.36080971659919</x:v>
      </x:c>
      <x:c r="D85" s="42" t="n">
        <x:v>3.9247287449392716</x:v>
      </x:c>
      <x:c r="E85" s="42" t="n">
        <x:v>-0.43608097165991877</x:v>
      </x:c>
      <x:c r="F85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85" s="31" t="str">
        <x:v>https://www.giants.com/news/jaxson-dart-to-miss-rest-of-regular-season-jameis-winston-to-start-quarterback-injury-john-harbaugh</x:v>
      </x:c>
      <x:c r="H85" s="31" t="str">
        <x:v>2026-09-24 7:40 PM CT</x:v>
      </x:c>
    </x:row>
    <x:row r="86" ht="45" customHeight="1">
      <x:c r="A86" t="str">
        <x:v>Devin Singletary</x:v>
      </x:c>
      <x:c r="B86" t="str">
        <x:v>Receiving TD</x:v>
      </x:c>
      <x:c r="C86" s="42" t="n">
        <x:v>0.019821862348178138</x:v>
      </x:c>
      <x:c r="D86" s="42" t="n">
        <x:v>0.016848582995951416</x:v>
      </x:c>
      <x:c r="E86" s="42" t="n">
        <x:v>-0.0029732793522267223</x:v>
      </x:c>
      <x:c r="F86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86" s="31" t="str">
        <x:v>https://www.giants.com/news/jaxson-dart-to-miss-rest-of-regular-season-jameis-winston-to-start-quarterback-injury-john-harbaugh</x:v>
      </x:c>
      <x:c r="H86" s="31" t="str">
        <x:v>2026-09-24 7:40 PM CT</x:v>
      </x:c>
    </x:row>
    <x:row r="87" ht="45" customHeight="1">
      <x:c r="A87" t="str">
        <x:v>Malik Nabers</x:v>
      </x:c>
      <x:c r="B87" t="str">
        <x:v>Receptions</x:v>
      </x:c>
      <x:c r="C87" s="42" t="n">
        <x:v>4.260869565217392</x:v>
      </x:c>
      <x:c r="D87" s="42" t="n">
        <x:v>4.047826086956522</x:v>
      </x:c>
      <x:c r="E87" s="42" t="n">
        <x:v>-0.2130434782608699</x:v>
      </x:c>
      <x:c r="F87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87" s="31" t="str">
        <x:v>https://www.giants.com/news/jaxson-dart-to-miss-rest-of-regular-season-jameis-winston-to-start-quarterback-injury-john-harbaugh</x:v>
      </x:c>
      <x:c r="H87" s="31" t="str">
        <x:v>2026-09-24 7:40 PM CT</x:v>
      </x:c>
    </x:row>
    <x:row r="88" ht="45" customHeight="1">
      <x:c r="A88" t="str">
        <x:v>Malik Nabers</x:v>
      </x:c>
      <x:c r="B88" t="str">
        <x:v>Receiving Yds</x:v>
      </x:c>
      <x:c r="C88" s="42" t="n">
        <x:v>53.77558260869565</x:v>
      </x:c>
      <x:c r="D88" s="42" t="n">
        <x:v>48.39802434782609</x:v>
      </x:c>
      <x:c r="E88" s="42" t="n">
        <x:v>-5.377558260869563</x:v>
      </x:c>
      <x:c r="F88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88" s="31" t="str">
        <x:v>https://www.giants.com/news/jaxson-dart-to-miss-rest-of-regular-season-jameis-winston-to-start-quarterback-injury-john-harbaugh</x:v>
      </x:c>
      <x:c r="H88" s="31" t="str">
        <x:v>2026-09-24 7:40 PM CT</x:v>
      </x:c>
    </x:row>
    <x:row r="89" ht="45" customHeight="1">
      <x:c r="A89" t="str">
        <x:v>Malik Nabers</x:v>
      </x:c>
      <x:c r="B89" t="str">
        <x:v>Receiving TD</x:v>
      </x:c>
      <x:c r="C89" s="42" t="n">
        <x:v>0.32450782608695655</x:v>
      </x:c>
      <x:c r="D89" s="42" t="n">
        <x:v>0.2758316521739131</x:v>
      </x:c>
      <x:c r="E89" s="42" t="n">
        <x:v>-0.04867617391304346</x:v>
      </x:c>
      <x:c r="F89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89" s="31" t="str">
        <x:v>https://www.giants.com/news/jaxson-dart-to-miss-rest-of-regular-season-jameis-winston-to-start-quarterback-injury-john-harbaugh</x:v>
      </x:c>
      <x:c r="H89" s="31" t="str">
        <x:v>2026-09-24 7:40 PM CT</x:v>
      </x:c>
    </x:row>
    <x:row r="90" ht="45" customHeight="1">
      <x:c r="A90" t="str">
        <x:v>Malachi Fields</x:v>
      </x:c>
      <x:c r="B90" t="str">
        <x:v>Receptions</x:v>
      </x:c>
      <x:c r="C90" s="42" t="n">
        <x:v>2.4782608695652173</x:v>
      </x:c>
      <x:c r="D90" s="42" t="n">
        <x:v>2.3543478260869564</x:v>
      </x:c>
      <x:c r="E90" s="42" t="n">
        <x:v>-0.12391304347826093</x:v>
      </x:c>
      <x:c r="F90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90" s="31" t="str">
        <x:v>https://www.giants.com/news/jaxson-dart-to-miss-rest-of-regular-season-jameis-winston-to-start-quarterback-injury-john-harbaugh</x:v>
      </x:c>
      <x:c r="H90" s="31" t="str">
        <x:v>2026-09-24 7:40 PM CT</x:v>
      </x:c>
    </x:row>
    <x:row r="91" ht="45" customHeight="1">
      <x:c r="A91" t="str">
        <x:v>Malachi Fields</x:v>
      </x:c>
      <x:c r="B91" t="str">
        <x:v>Receiving Yds</x:v>
      </x:c>
      <x:c r="C91" s="42" t="n">
        <x:v>31.277634782608693</x:v>
      </x:c>
      <x:c r="D91" s="42" t="n">
        <x:v>28.149871304347826</x:v>
      </x:c>
      <x:c r="E91" s="42" t="n">
        <x:v>-3.127763478260867</x:v>
      </x:c>
      <x:c r="F91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91" s="31" t="str">
        <x:v>https://www.giants.com/news/jaxson-dart-to-miss-rest-of-regular-season-jameis-winston-to-start-quarterback-injury-john-harbaugh</x:v>
      </x:c>
      <x:c r="H91" s="31" t="str">
        <x:v>2026-09-24 7:40 PM CT</x:v>
      </x:c>
    </x:row>
    <x:row r="92" ht="45" customHeight="1">
      <x:c r="A92" t="str">
        <x:v>Malachi Fields</x:v>
      </x:c>
      <x:c r="B92" t="str">
        <x:v>Receiving TD</x:v>
      </x:c>
      <x:c r="C92" s="42" t="n">
        <x:v>0.18874434782608693</x:v>
      </x:c>
      <x:c r="D92" s="42" t="n">
        <x:v>0.16043269565217388</x:v>
      </x:c>
      <x:c r="E92" s="42" t="n">
        <x:v>-0.028311652173913043</x:v>
      </x:c>
      <x:c r="F92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92" s="31" t="str">
        <x:v>https://www.giants.com/news/jaxson-dart-to-miss-rest-of-regular-season-jameis-winston-to-start-quarterback-injury-john-harbaugh</x:v>
      </x:c>
      <x:c r="H92" s="31" t="str">
        <x:v>2026-09-24 7:40 PM CT</x:v>
      </x:c>
    </x:row>
    <x:row r="93" ht="45" customHeight="1">
      <x:c r="A93" t="str">
        <x:v>Darnell Mooney</x:v>
      </x:c>
      <x:c r="B93" t="str">
        <x:v>Receptions</x:v>
      </x:c>
      <x:c r="C93" s="42" t="n">
        <x:v>1.5652173913043481</x:v>
      </x:c>
      <x:c r="D93" s="42" t="n">
        <x:v>1.4869565217391307</x:v>
      </x:c>
      <x:c r="E93" s="42" t="n">
        <x:v>-0.07826086956521738</x:v>
      </x:c>
      <x:c r="F93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93" s="31" t="str">
        <x:v>https://www.giants.com/news/jaxson-dart-to-miss-rest-of-regular-season-jameis-winston-to-start-quarterback-injury-john-harbaugh</x:v>
      </x:c>
      <x:c r="H93" s="31" t="str">
        <x:v>2026-09-24 7:40 PM CT</x:v>
      </x:c>
    </x:row>
    <x:row r="94" ht="45" customHeight="1">
      <x:c r="A94" t="str">
        <x:v>Darnell Mooney</x:v>
      </x:c>
      <x:c r="B94" t="str">
        <x:v>Receiving Yds</x:v>
      </x:c>
      <x:c r="C94" s="42" t="n">
        <x:v>19.754295652173916</x:v>
      </x:c>
      <x:c r="D94" s="42" t="n">
        <x:v>17.778866086956526</x:v>
      </x:c>
      <x:c r="E94" s="42" t="n">
        <x:v>-1.9754295652173894</x:v>
      </x:c>
      <x:c r="F94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94" s="31" t="str">
        <x:v>https://www.giants.com/news/jaxson-dart-to-miss-rest-of-regular-season-jameis-winston-to-start-quarterback-injury-john-harbaugh</x:v>
      </x:c>
      <x:c r="H94" s="31" t="str">
        <x:v>2026-09-24 7:40 PM CT</x:v>
      </x:c>
    </x:row>
    <x:row r="95" ht="45" customHeight="1">
      <x:c r="A95" t="str">
        <x:v>Darnell Mooney</x:v>
      </x:c>
      <x:c r="B95" t="str">
        <x:v>Receiving TD</x:v>
      </x:c>
      <x:c r="C95" s="42" t="n">
        <x:v>0.11920695652173913</x:v>
      </x:c>
      <x:c r="D95" s="42" t="n">
        <x:v>0.10132591304347825</x:v>
      </x:c>
      <x:c r="E95" s="42" t="n">
        <x:v>-0.017881043478260875</x:v>
      </x:c>
      <x:c r="F95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95" s="31" t="str">
        <x:v>https://www.giants.com/news/jaxson-dart-to-miss-rest-of-regular-season-jameis-winston-to-start-quarterback-injury-john-harbaugh</x:v>
      </x:c>
      <x:c r="H95" s="31" t="str">
        <x:v>2026-09-24 7:40 PM CT</x:v>
      </x:c>
    </x:row>
    <x:row r="96" ht="45" customHeight="1">
      <x:c r="A96" t="str">
        <x:v>Isaiah Likely</x:v>
      </x:c>
      <x:c r="B96" t="str">
        <x:v>Receptions</x:v>
      </x:c>
      <x:c r="C96" s="42" t="n">
        <x:v>4.079470198675497</x:v>
      </x:c>
      <x:c r="D96" s="42" t="n">
        <x:v>3.875496688741722</x:v>
      </x:c>
      <x:c r="E96" s="42" t="n">
        <x:v>-0.20397350993377517</x:v>
      </x:c>
      <x:c r="F96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96" s="31" t="str">
        <x:v>https://www.giants.com/news/jaxson-dart-to-miss-rest-of-regular-season-jameis-winston-to-start-quarterback-injury-john-harbaugh</x:v>
      </x:c>
      <x:c r="H96" s="31" t="str">
        <x:v>2026-09-24 7:40 PM CT</x:v>
      </x:c>
    </x:row>
    <x:row r="97" ht="45" customHeight="1">
      <x:c r="A97" t="str">
        <x:v>Isaiah Likely</x:v>
      </x:c>
      <x:c r="B97" t="str">
        <x:v>Receiving Yds</x:v>
      </x:c>
      <x:c r="C97" s="42" t="n">
        <x:v>45.65276821192054</x:v>
      </x:c>
      <x:c r="D97" s="42" t="n">
        <x:v>41.08749139072849</x:v>
      </x:c>
      <x:c r="E97" s="42" t="n">
        <x:v>-4.56527682119205</x:v>
      </x:c>
      <x:c r="F97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97" s="31" t="str">
        <x:v>https://www.giants.com/news/jaxson-dart-to-miss-rest-of-regular-season-jameis-winston-to-start-quarterback-injury-john-harbaugh</x:v>
      </x:c>
      <x:c r="H97" s="31" t="str">
        <x:v>2026-09-24 7:40 PM CT</x:v>
      </x:c>
    </x:row>
    <x:row r="98" ht="45" customHeight="1">
      <x:c r="A98" t="str">
        <x:v>Isaiah Likely</x:v>
      </x:c>
      <x:c r="B98" t="str">
        <x:v>Receiving TD</x:v>
      </x:c>
      <x:c r="C98" s="42" t="n">
        <x:v>0.342395761589404</x:v>
      </x:c>
      <x:c r="D98" s="42" t="n">
        <x:v>0.2910363973509934</x:v>
      </x:c>
      <x:c r="E98" s="42" t="n">
        <x:v>-0.05135936423841059</x:v>
      </x:c>
      <x:c r="F98" s="31" t="str">
        <x:v>Winston efficiency revision: receiving catches x0.95,yards x0.90,TD x0.85; targets/carries retained. More uncertain accuracy and scoring reduce receiver production; unranked residual explicitly retained in team budget.</x:v>
      </x:c>
      <x:c r="G98" s="31" t="str">
        <x:v>https://www.giants.com/news/jaxson-dart-to-miss-rest-of-regular-season-jameis-winston-to-start-quarterback-injury-john-harbaugh</x:v>
      </x:c>
      <x:c r="H98" s="31" t="str">
        <x:v>2026-09-24 7:40 PM CT</x:v>
      </x:c>
    </x:row>
    <x:row r="99" ht="45" customHeight="1">
      <x:c r="A99" t="str">
        <x:v>Rome Odunze</x:v>
      </x:c>
      <x:c r="B99" t="str">
        <x:v>Targets</x:v>
      </x:c>
      <x:c r="C99" s="42" t="n">
        <x:v>7.845410628019325</x:v>
      </x:c>
      <x:c r="D99" s="42" t="n">
        <x:v>7</x:v>
      </x:c>
      <x:c r="E99" s="42" t="n">
        <x:v>-0.8454106280193248</x:v>
      </x:c>
      <x:c r="F99" s="31" t="str">
        <x:v>Thursday official report: Williams and Bagent both DNP; Keenum contingency. Editorial mixed-QB team envelope30attempts,18completions,190yards,1.0TD. No permanent ROS downgrade. Reduced efficiency/TD expectation;6–9 targets. Hold; matchup-dependent WR3/Flex,prefer healthy alternative.</x:v>
      </x:c>
      <x:c r="G99" s="31" t="str">
        <x:v>https://www.chicagobears.com/team/injury-report/</x:v>
      </x:c>
      <x:c r="H99" s="31" t="str">
        <x:v>2026-09-24 7:40 PM CT</x:v>
      </x:c>
    </x:row>
    <x:row r="100" ht="45" customHeight="1">
      <x:c r="A100" t="str">
        <x:v>Rome Odunze</x:v>
      </x:c>
      <x:c r="B100" t="str">
        <x:v>Receptions</x:v>
      </x:c>
      <x:c r="C100" s="42" t="n">
        <x:v>5.043478260869565</x:v>
      </x:c>
      <x:c r="D100" s="42" t="n">
        <x:v>4.2</x:v>
      </x:c>
      <x:c r="E100" s="42" t="n">
        <x:v>-0.8434782608695652</x:v>
      </x:c>
      <x:c r="F100" s="31" t="str">
        <x:v>Thursday official report: Williams and Bagent both DNP; Keenum contingency. Editorial mixed-QB team envelope30attempts,18completions,190yards,1.0TD. No permanent ROS downgrade. Reduced efficiency/TD expectation;6–9 targets. Hold; matchup-dependent WR3/Flex,prefer healthy alternative.</x:v>
      </x:c>
      <x:c r="G100" s="31" t="str">
        <x:v>https://www.chicagobears.com/team/injury-report/</x:v>
      </x:c>
      <x:c r="H100" s="31" t="str">
        <x:v>2026-09-24 7:40 PM CT</x:v>
      </x:c>
    </x:row>
    <x:row r="101" ht="45" customHeight="1">
      <x:c r="A101" t="str">
        <x:v>Rome Odunze</x:v>
      </x:c>
      <x:c r="B101" t="str">
        <x:v>Receiving Yds</x:v>
      </x:c>
      <x:c r="C101" s="42" t="n">
        <x:v>58.66035942028985</x:v>
      </x:c>
      <x:c r="D101" s="42" t="n">
        <x:v>48</x:v>
      </x:c>
      <x:c r="E101" s="42" t="n">
        <x:v>-10.66035942028985</x:v>
      </x:c>
      <x:c r="F101" s="31" t="str">
        <x:v>Thursday official report: Williams and Bagent both DNP; Keenum contingency. Editorial mixed-QB team envelope30attempts,18completions,190yards,1.0TD. No permanent ROS downgrade. Reduced efficiency/TD expectation;6–9 targets. Hold; matchup-dependent WR3/Flex,prefer healthy alternative.</x:v>
      </x:c>
      <x:c r="G101" s="31" t="str">
        <x:v>https://www.chicagobears.com/team/injury-report/</x:v>
      </x:c>
      <x:c r="H101" s="31" t="str">
        <x:v>2026-09-24 7:40 PM CT</x:v>
      </x:c>
    </x:row>
    <x:row r="102" ht="45" customHeight="1">
      <x:c r="A102" t="str">
        <x:v>Rome Odunze</x:v>
      </x:c>
      <x:c r="B102" t="str">
        <x:v>Receiving TD</x:v>
      </x:c>
      <x:c r="C102" s="42" t="n">
        <x:v>0.35398492753623184</x:v>
      </x:c>
      <x:c r="D102" s="42" t="n">
        <x:v>0.24</x:v>
      </x:c>
      <x:c r="E102" s="42" t="n">
        <x:v>-0.11398492753623185</x:v>
      </x:c>
      <x:c r="F102" s="31" t="str">
        <x:v>Thursday official report: Williams and Bagent both DNP; Keenum contingency. Editorial mixed-QB team envelope30attempts,18completions,190yards,1.0TD. No permanent ROS downgrade. Reduced efficiency/TD expectation;6–9 targets. Hold; matchup-dependent WR3/Flex,prefer healthy alternative.</x:v>
      </x:c>
      <x:c r="G102" s="31" t="str">
        <x:v>https://www.chicagobears.com/team/injury-report/</x:v>
      </x:c>
      <x:c r="H102" s="31" t="str">
        <x:v>2026-09-24 7:40 PM CT</x:v>
      </x:c>
    </x:row>
    <x:row r="103" ht="45" customHeight="1">
      <x:c r="A103" t="str">
        <x:v>Rome Odunze</x:v>
      </x:c>
      <x:c r="B103" t="str">
        <x:v>Routes</x:v>
      </x:c>
      <x:c r="C103" s="42" t="n">
        <x:v>34.74396135265701</x:v>
      </x:c>
      <x:c r="D103" s="42" t="n">
        <x:v>29</x:v>
      </x:c>
      <x:c r="E103" s="42" t="n">
        <x:v>-5.74396135265701</x:v>
      </x:c>
      <x:c r="F103" s="31" t="str">
        <x:v>Thursday official report: Williams and Bagent both DNP; Keenum contingency. Editorial mixed-QB team envelope30attempts,18completions,190yards,1.0TD. No permanent ROS downgrade. Reduced efficiency/TD expectation;6–9 targets. Hold; matchup-dependent WR3/Flex,prefer healthy alternative.</x:v>
      </x:c>
      <x:c r="G103" s="31" t="str">
        <x:v>https://www.chicagobears.com/team/injury-report/</x:v>
      </x:c>
      <x:c r="H103" s="31" t="str">
        <x:v>2026-09-24 7:40 PM CT</x:v>
      </x:c>
    </x:row>
    <x:row r="104" ht="45" customHeight="1">
      <x:c r="A104" t="str">
        <x:v>Rome Odunze</x:v>
      </x:c>
      <x:c r="B104" t="str">
        <x:v>Route %</x:v>
      </x:c>
      <x:c r="C104" s="42" t="n">
        <x:v>0.78</x:v>
      </x:c>
      <x:c r="D104" s="42" t="n">
        <x:v>0.8529411764705882</x:v>
      </x:c>
      <x:c r="E104" s="42" t="n">
        <x:v>0.07294117647058818</x:v>
      </x:c>
      <x:c r="F104" s="31" t="str">
        <x:v>Thursday official report: Williams and Bagent both DNP; Keenum contingency. Editorial mixed-QB team envelope30attempts,18completions,190yards,1.0TD. No permanent ROS downgrade. Reduced efficiency/TD expectation;6–9 targets. Hold; matchup-dependent WR3/Flex,prefer healthy alternative.</x:v>
      </x:c>
      <x:c r="G104" s="31" t="str">
        <x:v>https://www.chicagobears.com/team/injury-report/</x:v>
      </x:c>
      <x:c r="H104" s="31" t="str">
        <x:v>2026-09-24 7:40 PM CT</x:v>
      </x:c>
    </x:row>
    <x:row r="105" ht="45" customHeight="1">
      <x:c r="A105" t="str">
        <x:v>Rome Odunze</x:v>
      </x:c>
      <x:c r="B105" t="str">
        <x:v>Role Value</x:v>
      </x:c>
      <x:c r="C105" s="42" t="n">
        <x:v>34.74396135265701</x:v>
      </x:c>
      <x:c r="D105" s="42" t="n">
        <x:v>29</x:v>
      </x:c>
      <x:c r="E105" s="42" t="n">
        <x:v>-5.74396135265701</x:v>
      </x:c>
      <x:c r="F105" s="31" t="str">
        <x:v>Thursday official report: Williams and Bagent both DNP; Keenum contingency. Editorial mixed-QB team envelope30attempts,18completions,190yards,1.0TD. No permanent ROS downgrade. Reduced efficiency/TD expectation;6–9 targets. Hold; matchup-dependent WR3/Flex,prefer healthy alternative.</x:v>
      </x:c>
      <x:c r="G105" s="31" t="str">
        <x:v>https://www.chicagobears.com/team/injury-report/</x:v>
      </x:c>
      <x:c r="H105" s="31" t="str">
        <x:v>2026-09-24 7:40 PM CT</x:v>
      </x:c>
    </x:row>
    <x:row r="106" ht="45" customHeight="1">
      <x:c r="A106" t="str">
        <x:v>Rome Odunze</x:v>
      </x:c>
      <x:c r="B106" t="str">
        <x:v>Expected Snaps</x:v>
      </x:c>
      <x:c r="C106" s="42" t="n">
        <x:v>52</x:v>
      </x:c>
      <x:c r="D106" s="42" t="n">
        <x:v>51</x:v>
      </x:c>
      <x:c r="E106" s="42" t="n">
        <x:v>-1</x:v>
      </x:c>
      <x:c r="F106" s="31" t="str">
        <x:v>Thursday official report: Williams and Bagent both DNP; Keenum contingency. Editorial mixed-QB team envelope30attempts,18completions,190yards,1.0TD. No permanent ROS downgrade. Reduced efficiency/TD expectation;6–9 targets. Hold; matchup-dependent WR3/Flex,prefer healthy alternative.</x:v>
      </x:c>
      <x:c r="G106" s="31" t="str">
        <x:v>https://www.chicagobears.com/team/injury-report/</x:v>
      </x:c>
      <x:c r="H106" s="31" t="str">
        <x:v>2026-09-24 7:40 PM CT</x:v>
      </x:c>
    </x:row>
    <x:row r="107" ht="45" customHeight="1">
      <x:c r="A107" t="str">
        <x:v>Luther Burden III</x:v>
      </x:c>
      <x:c r="B107" t="str">
        <x:v>Targets</x:v>
      </x:c>
      <x:c r="C107" s="42" t="n">
        <x:v>7.033816425120773</x:v>
      </x:c>
      <x:c r="D107" s="42" t="n">
        <x:v>6</x:v>
      </x:c>
      <x:c r="E107" s="42" t="n">
        <x:v>-1.033816425120773</x:v>
      </x:c>
      <x:c r="F107" s="31" t="str">
        <x:v>Thursday official report: Williams and Bagent both DNP; Keenum contingency. Editorial mixed-QB team envelope30attempts,18completions,190yards,1.0TD. No permanent ROS downgrade. Shorter-area volume can survive but lower scoring ceiling;5–8 targets. Hold; deep Flex only.</x:v>
      </x:c>
      <x:c r="G107" s="31" t="str">
        <x:v>https://www.chicagobears.com/team/injury-report/</x:v>
      </x:c>
      <x:c r="H107" s="31" t="str">
        <x:v>2026-09-24 7:40 PM CT</x:v>
      </x:c>
    </x:row>
    <x:row r="108" ht="45" customHeight="1">
      <x:c r="A108" t="str">
        <x:v>Luther Burden III</x:v>
      </x:c>
      <x:c r="B108" t="str">
        <x:v>Receptions</x:v>
      </x:c>
      <x:c r="C108" s="42" t="n">
        <x:v>4.521739130434783</x:v>
      </x:c>
      <x:c r="D108" s="42" t="n">
        <x:v>3.9</x:v>
      </x:c>
      <x:c r="E108" s="42" t="n">
        <x:v>-0.6217391304347832</x:v>
      </x:c>
      <x:c r="F108" s="31" t="str">
        <x:v>Thursday official report: Williams and Bagent both DNP; Keenum contingency. Editorial mixed-QB team envelope30attempts,18completions,190yards,1.0TD. No permanent ROS downgrade. Shorter-area volume can survive but lower scoring ceiling;5–8 targets. Hold; deep Flex only.</x:v>
      </x:c>
      <x:c r="G108" s="31" t="str">
        <x:v>https://www.chicagobears.com/team/injury-report/</x:v>
      </x:c>
      <x:c r="H108" s="31" t="str">
        <x:v>2026-09-24 7:40 PM CT</x:v>
      </x:c>
    </x:row>
    <x:row r="109" ht="45" customHeight="1">
      <x:c r="A109" t="str">
        <x:v>Luther Burden III</x:v>
      </x:c>
      <x:c r="B109" t="str">
        <x:v>Receiving Yds</x:v>
      </x:c>
      <x:c r="C109" s="42" t="n">
        <x:v>52.59204637681159</x:v>
      </x:c>
      <x:c r="D109" s="42" t="n">
        <x:v>40</x:v>
      </x:c>
      <x:c r="E109" s="42" t="n">
        <x:v>-12.592046376811588</x:v>
      </x:c>
      <x:c r="F109" s="31" t="str">
        <x:v>Thursday official report: Williams and Bagent both DNP; Keenum contingency. Editorial mixed-QB team envelope30attempts,18completions,190yards,1.0TD. No permanent ROS downgrade. Shorter-area volume can survive but lower scoring ceiling;5–8 targets. Hold; deep Flex only.</x:v>
      </x:c>
      <x:c r="G109" s="31" t="str">
        <x:v>https://www.chicagobears.com/team/injury-report/</x:v>
      </x:c>
      <x:c r="H109" s="31" t="str">
        <x:v>2026-09-24 7:40 PM CT</x:v>
      </x:c>
    </x:row>
    <x:row r="110" ht="45" customHeight="1">
      <x:c r="A110" t="str">
        <x:v>Luther Burden III</x:v>
      </x:c>
      <x:c r="B110" t="str">
        <x:v>Receiving TD</x:v>
      </x:c>
      <x:c r="C110" s="42" t="n">
        <x:v>0.3173657971014492</x:v>
      </x:c>
      <x:c r="D110" s="42" t="n">
        <x:v>0.2</x:v>
      </x:c>
      <x:c r="E110" s="42" t="n">
        <x:v>-0.11736579710144918</x:v>
      </x:c>
      <x:c r="F110" s="31" t="str">
        <x:v>Thursday official report: Williams and Bagent both DNP; Keenum contingency. Editorial mixed-QB team envelope30attempts,18completions,190yards,1.0TD. No permanent ROS downgrade. Shorter-area volume can survive but lower scoring ceiling;5–8 targets. Hold; deep Flex only.</x:v>
      </x:c>
      <x:c r="G110" s="31" t="str">
        <x:v>https://www.chicagobears.com/team/injury-report/</x:v>
      </x:c>
      <x:c r="H110" s="31" t="str">
        <x:v>2026-09-24 7:40 PM CT</x:v>
      </x:c>
    </x:row>
    <x:row r="111" ht="45" customHeight="1">
      <x:c r="A111" t="str">
        <x:v>Luther Burden III</x:v>
      </x:c>
      <x:c r="B111" t="str">
        <x:v>Routes</x:v>
      </x:c>
      <x:c r="C111" s="42" t="n">
        <x:v>31.14975845410628</x:v>
      </x:c>
      <x:c r="D111" s="42" t="n">
        <x:v>27</x:v>
      </x:c>
      <x:c r="E111" s="42" t="n">
        <x:v>-4.14975845410628</x:v>
      </x:c>
      <x:c r="F111" s="31" t="str">
        <x:v>Thursday official report: Williams and Bagent both DNP; Keenum contingency. Editorial mixed-QB team envelope30attempts,18completions,190yards,1.0TD. No permanent ROS downgrade. Shorter-area volume can survive but lower scoring ceiling;5–8 targets. Hold; deep Flex only.</x:v>
      </x:c>
      <x:c r="G111" s="31" t="str">
        <x:v>https://www.chicagobears.com/team/injury-report/</x:v>
      </x:c>
      <x:c r="H111" s="31" t="str">
        <x:v>2026-09-24 7:40 PM CT</x:v>
      </x:c>
    </x:row>
    <x:row r="112" ht="45" customHeight="1">
      <x:c r="A112" t="str">
        <x:v>Luther Burden III</x:v>
      </x:c>
      <x:c r="B112" t="str">
        <x:v>Route %</x:v>
      </x:c>
      <x:c r="C112" s="42" t="n">
        <x:v>0.78</x:v>
      </x:c>
      <x:c r="D112" s="42" t="n">
        <x:v>0.7941176470588235</x:v>
      </x:c>
      <x:c r="E112" s="42" t="n">
        <x:v>0.014117647058823457</x:v>
      </x:c>
      <x:c r="F112" s="31" t="str">
        <x:v>Thursday official report: Williams and Bagent both DNP; Keenum contingency. Editorial mixed-QB team envelope30attempts,18completions,190yards,1.0TD. No permanent ROS downgrade. Shorter-area volume can survive but lower scoring ceiling;5–8 targets. Hold; deep Flex only.</x:v>
      </x:c>
      <x:c r="G112" s="31" t="str">
        <x:v>https://www.chicagobears.com/team/injury-report/</x:v>
      </x:c>
      <x:c r="H112" s="31" t="str">
        <x:v>2026-09-24 7:40 PM CT</x:v>
      </x:c>
    </x:row>
    <x:row r="113" ht="45" customHeight="1">
      <x:c r="A113" t="str">
        <x:v>Luther Burden III</x:v>
      </x:c>
      <x:c r="B113" t="str">
        <x:v>Role Value</x:v>
      </x:c>
      <x:c r="C113" s="42" t="n">
        <x:v>31.14975845410628</x:v>
      </x:c>
      <x:c r="D113" s="42" t="n">
        <x:v>27</x:v>
      </x:c>
      <x:c r="E113" s="42" t="n">
        <x:v>-4.14975845410628</x:v>
      </x:c>
      <x:c r="F113" s="31" t="str">
        <x:v>Thursday official report: Williams and Bagent both DNP; Keenum contingency. Editorial mixed-QB team envelope30attempts,18completions,190yards,1.0TD. No permanent ROS downgrade. Shorter-area volume can survive but lower scoring ceiling;5–8 targets. Hold; deep Flex only.</x:v>
      </x:c>
      <x:c r="G113" s="31" t="str">
        <x:v>https://www.chicagobears.com/team/injury-report/</x:v>
      </x:c>
      <x:c r="H113" s="31" t="str">
        <x:v>2026-09-24 7:40 PM CT</x:v>
      </x:c>
    </x:row>
    <x:row r="114" ht="45" customHeight="1">
      <x:c r="A114" t="str">
        <x:v>Luther Burden III</x:v>
      </x:c>
      <x:c r="B114" t="str">
        <x:v>Expected Snaps</x:v>
      </x:c>
      <x:c r="C114" s="42" t="n">
        <x:v>52</x:v>
      </x:c>
      <x:c r="D114" s="42" t="n">
        <x:v>47</x:v>
      </x:c>
      <x:c r="E114" s="42" t="n">
        <x:v>-5</x:v>
      </x:c>
      <x:c r="F114" s="31" t="str">
        <x:v>Thursday official report: Williams and Bagent both DNP; Keenum contingency. Editorial mixed-QB team envelope30attempts,18completions,190yards,1.0TD. No permanent ROS downgrade. Shorter-area volume can survive but lower scoring ceiling;5–8 targets. Hold; deep Flex only.</x:v>
      </x:c>
      <x:c r="G114" s="31" t="str">
        <x:v>https://www.chicagobears.com/team/injury-report/</x:v>
      </x:c>
      <x:c r="H114" s="31" t="str">
        <x:v>2026-09-24 7:40 PM CT</x:v>
      </x:c>
    </x:row>
    <x:row r="115" ht="45" customHeight="1">
      <x:c r="A115" t="str">
        <x:v>Colston Loveland</x:v>
      </x:c>
      <x:c r="B115" t="str">
        <x:v>Targets</x:v>
      </x:c>
      <x:c r="C115" s="42" t="n">
        <x:v>6.821192052980133</x:v>
      </x:c>
      <x:c r="D115" s="42" t="n">
        <x:v>6</x:v>
      </x:c>
      <x:c r="E115" s="42" t="n">
        <x:v>-0.8211920529801331</x:v>
      </x:c>
      <x:c r="F115" s="31" t="str">
        <x:v>Thursday official report: Williams and Bagent both DNP; Keenum contingency. Editorial mixed-QB team envelope30attempts,18completions,190yards,1.0TD. No permanent ROS downgrade. Target share retained,not an automatic checkdown windfall;5–8 targets. Hold; fringeTE1/TE2 pending QB clarity.</x:v>
      </x:c>
      <x:c r="G115" s="31" t="str">
        <x:v>https://www.chicagobears.com/team/injury-report/</x:v>
      </x:c>
      <x:c r="H115" s="31" t="str">
        <x:v>2026-09-24 7:40 PM CT</x:v>
      </x:c>
    </x:row>
    <x:row r="116" ht="45" customHeight="1">
      <x:c r="A116" t="str">
        <x:v>Colston Loveland</x:v>
      </x:c>
      <x:c r="B116" t="str">
        <x:v>Receptions</x:v>
      </x:c>
      <x:c r="C116" s="42" t="n">
        <x:v>4.774834437086093</x:v>
      </x:c>
      <x:c r="D116" s="42" t="n">
        <x:v>4.2</x:v>
      </x:c>
      <x:c r="E116" s="42" t="n">
        <x:v>-0.5748344370860927</x:v>
      </x:c>
      <x:c r="F116" s="31" t="str">
        <x:v>Thursday official report: Williams and Bagent both DNP; Keenum contingency. Editorial mixed-QB team envelope30attempts,18completions,190yards,1.0TD. No permanent ROS downgrade. Target share retained,not an automatic checkdown windfall;5–8 targets. Hold; fringeTE1/TE2 pending QB clarity.</x:v>
      </x:c>
      <x:c r="G116" s="31" t="str">
        <x:v>https://www.chicagobears.com/team/injury-report/</x:v>
      </x:c>
      <x:c r="H116" s="31" t="str">
        <x:v>2026-09-24 7:40 PM CT</x:v>
      </x:c>
    </x:row>
    <x:row r="117" ht="45" customHeight="1">
      <x:c r="A117" t="str">
        <x:v>Colston Loveland</x:v>
      </x:c>
      <x:c r="B117" t="str">
        <x:v>Receiving Yds</x:v>
      </x:c>
      <x:c r="C117" s="42" t="n">
        <x:v>49.24354966887417</x:v>
      </x:c>
      <x:c r="D117" s="42" t="n">
        <x:v>41</x:v>
      </x:c>
      <x:c r="E117" s="42" t="n">
        <x:v>-8.243549668874167</x:v>
      </x:c>
      <x:c r="F117" s="31" t="str">
        <x:v>Thursday official report: Williams and Bagent both DNP; Keenum contingency. Editorial mixed-QB team envelope30attempts,18completions,190yards,1.0TD. No permanent ROS downgrade. Target share retained,not an automatic checkdown windfall;5–8 targets. Hold; fringeTE1/TE2 pending QB clarity.</x:v>
      </x:c>
      <x:c r="G117" s="31" t="str">
        <x:v>https://www.chicagobears.com/team/injury-report/</x:v>
      </x:c>
      <x:c r="H117" s="31" t="str">
        <x:v>2026-09-24 7:40 PM CT</x:v>
      </x:c>
    </x:row>
    <x:row r="118" ht="45" customHeight="1">
      <x:c r="A118" t="str">
        <x:v>Colston Loveland</x:v>
      </x:c>
      <x:c r="B118" t="str">
        <x:v>Receiving TD</x:v>
      </x:c>
      <x:c r="C118" s="42" t="n">
        <x:v>0.36932662251655624</x:v>
      </x:c>
      <x:c r="D118" s="42" t="n">
        <x:v>0.24</x:v>
      </x:c>
      <x:c r="E118" s="42" t="n">
        <x:v>-0.12932662251655624</x:v>
      </x:c>
      <x:c r="F118" s="31" t="str">
        <x:v>Thursday official report: Williams and Bagent both DNP; Keenum contingency. Editorial mixed-QB team envelope30attempts,18completions,190yards,1.0TD. No permanent ROS downgrade. Target share retained,not an automatic checkdown windfall;5–8 targets. Hold; fringeTE1/TE2 pending QB clarity.</x:v>
      </x:c>
      <x:c r="G118" s="31" t="str">
        <x:v>https://www.chicagobears.com/team/injury-report/</x:v>
      </x:c>
      <x:c r="H118" s="31" t="str">
        <x:v>2026-09-24 7:40 PM CT</x:v>
      </x:c>
    </x:row>
    <x:row r="119" ht="45" customHeight="1">
      <x:c r="A119" t="str">
        <x:v>Colston Loveland</x:v>
      </x:c>
      <x:c r="B119" t="str">
        <x:v>Routes</x:v>
      </x:c>
      <x:c r="C119" s="42" t="n">
        <x:v>34.105960264900666</x:v>
      </x:c>
      <x:c r="D119" s="42" t="n">
        <x:v>27</x:v>
      </x:c>
      <x:c r="E119" s="42" t="n">
        <x:v>-7.105960264900666</x:v>
      </x:c>
      <x:c r="F119" s="31" t="str">
        <x:v>Thursday official report: Williams and Bagent both DNP; Keenum contingency. Editorial mixed-QB team envelope30attempts,18completions,190yards,1.0TD. No permanent ROS downgrade. Target share retained,not an automatic checkdown windfall;5–8 targets. Hold; fringeTE1/TE2 pending QB clarity.</x:v>
      </x:c>
      <x:c r="G119" s="31" t="str">
        <x:v>https://www.chicagobears.com/team/injury-report/</x:v>
      </x:c>
      <x:c r="H119" s="31" t="str">
        <x:v>2026-09-24 7:40 PM CT</x:v>
      </x:c>
    </x:row>
    <x:row r="120" ht="45" customHeight="1">
      <x:c r="A120" t="str">
        <x:v>Colston Loveland</x:v>
      </x:c>
      <x:c r="B120" t="str">
        <x:v>Route %</x:v>
      </x:c>
      <x:c r="C120" s="42" t="n">
        <x:v>0.68</x:v>
      </x:c>
      <x:c r="D120" s="42" t="n">
        <x:v>0.7941176470588235</x:v>
      </x:c>
      <x:c r="E120" s="42" t="n">
        <x:v>0.11411764705882343</x:v>
      </x:c>
      <x:c r="F120" s="31" t="str">
        <x:v>Thursday official report: Williams and Bagent both DNP; Keenum contingency. Editorial mixed-QB team envelope30attempts,18completions,190yards,1.0TD. No permanent ROS downgrade. Target share retained,not an automatic checkdown windfall;5–8 targets. Hold; fringeTE1/TE2 pending QB clarity.</x:v>
      </x:c>
      <x:c r="G120" s="31" t="str">
        <x:v>https://www.chicagobears.com/team/injury-report/</x:v>
      </x:c>
      <x:c r="H120" s="31" t="str">
        <x:v>2026-09-24 7:40 PM CT</x:v>
      </x:c>
    </x:row>
    <x:row r="121" ht="45" customHeight="1">
      <x:c r="A121" t="str">
        <x:v>Colston Loveland</x:v>
      </x:c>
      <x:c r="B121" t="str">
        <x:v>Role Value</x:v>
      </x:c>
      <x:c r="C121" s="42" t="n">
        <x:v>34.105960264900666</x:v>
      </x:c>
      <x:c r="D121" s="42" t="n">
        <x:v>27</x:v>
      </x:c>
      <x:c r="E121" s="42" t="n">
        <x:v>-7.105960264900666</x:v>
      </x:c>
      <x:c r="F121" s="31" t="str">
        <x:v>Thursday official report: Williams and Bagent both DNP; Keenum contingency. Editorial mixed-QB team envelope30attempts,18completions,190yards,1.0TD. No permanent ROS downgrade. Target share retained,not an automatic checkdown windfall;5–8 targets. Hold; fringeTE1/TE2 pending QB clarity.</x:v>
      </x:c>
      <x:c r="G121" s="31" t="str">
        <x:v>https://www.chicagobears.com/team/injury-report/</x:v>
      </x:c>
      <x:c r="H121" s="31" t="str">
        <x:v>2026-09-24 7:40 PM CT</x:v>
      </x:c>
    </x:row>
    <x:row r="122" ht="45" customHeight="1">
      <x:c r="A122" t="str">
        <x:v>Colston Loveland</x:v>
      </x:c>
      <x:c r="B122" t="str">
        <x:v>Expected Snaps</x:v>
      </x:c>
      <x:c r="C122" s="42" t="n">
        <x:v>44</x:v>
      </x:c>
      <x:c r="D122" s="42" t="n">
        <x:v>45</x:v>
      </x:c>
      <x:c r="E122" s="42" t="n">
        <x:v>1</x:v>
      </x:c>
      <x:c r="F122" s="31" t="str">
        <x:v>Thursday official report: Williams and Bagent both DNP; Keenum contingency. Editorial mixed-QB team envelope30attempts,18completions,190yards,1.0TD. No permanent ROS downgrade. Target share retained,not an automatic checkdown windfall;5–8 targets. Hold; fringeTE1/TE2 pending QB clarity.</x:v>
      </x:c>
      <x:c r="G122" s="31" t="str">
        <x:v>https://www.chicagobears.com/team/injury-report/</x:v>
      </x:c>
      <x:c r="H122" s="31" t="str">
        <x:v>2026-09-24 7:40 PM CT</x:v>
      </x:c>
    </x:row>
    <x:row r="123" ht="45" customHeight="1">
      <x:c r="A123" t="str">
        <x:v>Puka Nacua</x:v>
      </x:c>
      <x:c r="B123" t="str">
        <x:v>Play Prob</x:v>
      </x:c>
      <x:c r="C123" s="42" t="n">
        <x:v>0.62</x:v>
      </x:c>
      <x:c r="D123" s="42" t="n">
        <x:v>0.25</x:v>
      </x:c>
      <x:c r="E123" s="42" t="n">
        <x:v>-0.37</x:v>
      </x:c>
      <x:c r="F123" s="31" t="str">
        <x:v>TwoDNPs; official Thursday report has no final game designation. ACE planning assumption25% plays,not medical probability. Prepare to sit and secure healthy replacement. Hold; IR only if platform eligibility permits. Conditional receiving line retained.</x:v>
      </x:c>
      <x:c r="G123" s="31" t="str">
        <x:v>https://www.therams.com/team/injury-report/</x:v>
      </x:c>
      <x:c r="H123" s="31" t="str">
        <x:v>2026-09-24 7:40 PM CT</x:v>
      </x:c>
    </x:row>
    <x:row r="124" ht="45" customHeight="1">
      <x:c r="A124" t="str">
        <x:v>Puka Nacua</x:v>
      </x:c>
      <x:c r="B124" t="str">
        <x:v>Availability Factor</x:v>
      </x:c>
      <x:c r="C124" s="42" t="n">
        <x:v>0.62</x:v>
      </x:c>
      <x:c r="D124" s="42" t="n">
        <x:v>0.25</x:v>
      </x:c>
      <x:c r="E124" s="42" t="n">
        <x:v>-0.37</x:v>
      </x:c>
      <x:c r="F124" s="31" t="str">
        <x:v>TwoDNPs; official Thursday report has no final game designation. ACE planning assumption25% plays,not medical probability. Prepare to sit and secure healthy replacement. Hold; IR only if platform eligibility permits. Conditional receiving line retained.</x:v>
      </x:c>
      <x:c r="G124" s="31" t="str">
        <x:v>https://www.therams.com/team/injury-report/</x:v>
      </x:c>
      <x:c r="H124" s="31" t="str">
        <x:v>2026-09-24 7:40 PM CT</x:v>
      </x:c>
    </x:row>
    <x:row r="125" ht="45" customHeight="1">
      <x:c r="A125" t="str">
        <x:v>Puka Nacua</x:v>
      </x:c>
      <x:c r="B125" t="str">
        <x:v>Routes</x:v>
      </x:c>
      <x:c r="C125" s="42" t="n">
        <x:v>47.51835748792271</x:v>
      </x:c>
      <x:c r="D125" s="42" t="n">
        <x:v>31</x:v>
      </x:c>
      <x:c r="E125" s="42" t="n">
        <x:v>-16.518357487922707</x:v>
      </x:c>
      <x:c r="F125" s="31" t="str">
        <x:v>TwoDNPs; official Thursday report has no final game designation. ACE planning assumption25% plays,not medical probability. Prepare to sit and secure healthy replacement. Hold; IR only if platform eligibility permits. Conditional receiving line retained.</x:v>
      </x:c>
      <x:c r="G125" s="31" t="str">
        <x:v>https://www.therams.com/team/injury-report/</x:v>
      </x:c>
      <x:c r="H125" s="31" t="str">
        <x:v>2026-09-24 7:40 PM CT</x:v>
      </x:c>
    </x:row>
    <x:row r="126" ht="45" customHeight="1">
      <x:c r="A126" t="str">
        <x:v>Puka Nacua</x:v>
      </x:c>
      <x:c r="B126" t="str">
        <x:v>Role Value</x:v>
      </x:c>
      <x:c r="C126" s="42" t="n">
        <x:v>47.51835748792271</x:v>
      </x:c>
      <x:c r="D126" s="42" t="n">
        <x:v>31</x:v>
      </x:c>
      <x:c r="E126" s="42" t="n">
        <x:v>-16.518357487922707</x:v>
      </x:c>
      <x:c r="F126" s="31" t="str">
        <x:v>TwoDNPs; official Thursday report has no final game designation. ACE planning assumption25% plays,not medical probability. Prepare to sit and secure healthy replacement. Hold; IR only if platform eligibility permits. Conditional receiving line retained.</x:v>
      </x:c>
      <x:c r="G126" s="31" t="str">
        <x:v>https://www.therams.com/team/injury-report/</x:v>
      </x:c>
      <x:c r="H126" s="31" t="str">
        <x:v>2026-09-24 7:40 PM CT</x:v>
      </x:c>
    </x:row>
    <x:row r="127" ht="45" customHeight="1">
      <x:c r="A127" t="str">
        <x:v>Puka Nacua</x:v>
      </x:c>
      <x:c r="B127" t="str">
        <x:v>Route %</x:v>
      </x:c>
      <x:c r="C127" s="42" t="n">
        <x:v>0.78</x:v>
      </x:c>
      <x:c r="D127" s="42" t="n">
        <x:v>0.8611111111111112</x:v>
      </x:c>
      <x:c r="E127" s="42" t="n">
        <x:v>0.08111111111111113</x:v>
      </x:c>
      <x:c r="F127" s="31" t="str">
        <x:v>TwoDNPs; official Thursday report has no final game designation. ACE planning assumption25% plays,not medical probability. Prepare to sit and secure healthy replacement. Hold; IR only if platform eligibility permits. Conditional receiving line retained.</x:v>
      </x:c>
      <x:c r="G127" s="31" t="str">
        <x:v>https://www.therams.com/team/injury-report/</x:v>
      </x:c>
      <x:c r="H127" s="31" t="str">
        <x:v>2026-09-24 7:40 PM CT</x:v>
      </x:c>
    </x:row>
    <x:row r="128" ht="45" customHeight="1">
      <x:c r="A128" t="str">
        <x:v>Davante Adams</x:v>
      </x:c>
      <x:c r="B128" t="str">
        <x:v>Targets</x:v>
      </x:c>
      <x:c r="C128" s="42" t="n">
        <x:v>7.085217391304348</x:v>
      </x:c>
      <x:c r="D128" s="42" t="n">
        <x:v>8.25</x:v>
      </x:c>
      <x:c r="E128" s="42" t="n">
        <x:v>1.1647826086956519</x:v>
      </x:c>
      <x:c r="F128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28" s="31" t="str">
        <x:v>https://www.therams.com/team/injury-report/</x:v>
      </x:c>
      <x:c r="H128" s="31" t="str">
        <x:v>2026-09-24 7:40 PM CT</x:v>
      </x:c>
    </x:row>
    <x:row r="129" ht="45" customHeight="1">
      <x:c r="A129" t="str">
        <x:v>Davante Adams</x:v>
      </x:c>
      <x:c r="B129" t="str">
        <x:v>Receptions</x:v>
      </x:c>
      <x:c r="C129" s="42" t="n">
        <x:v>4.554782608695652</x:v>
      </x:c>
      <x:c r="D129" s="42" t="n">
        <x:v>5.25</x:v>
      </x:c>
      <x:c r="E129" s="42" t="n">
        <x:v>0.6952173913043476</x:v>
      </x:c>
      <x:c r="F129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29" s="31" t="str">
        <x:v>https://www.therams.com/team/injury-report/</x:v>
      </x:c>
      <x:c r="H129" s="31" t="str">
        <x:v>2026-09-24 7:40 PM CT</x:v>
      </x:c>
    </x:row>
    <x:row r="130" ht="45" customHeight="1">
      <x:c r="A130" t="str">
        <x:v>Davante Adams</x:v>
      </x:c>
      <x:c r="B130" t="str">
        <x:v>Receiving Yds</x:v>
      </x:c>
      <x:c r="C130" s="42" t="n">
        <x:v>55.62988800000001</x:v>
      </x:c>
      <x:c r="D130" s="42" t="n">
        <x:v>65</x:v>
      </x:c>
      <x:c r="E130" s="42" t="n">
        <x:v>9.370111999999992</x:v>
      </x:c>
      <x:c r="F130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30" s="31" t="str">
        <x:v>https://www.therams.com/team/injury-report/</x:v>
      </x:c>
      <x:c r="H130" s="31" t="str">
        <x:v>2026-09-24 7:40 PM CT</x:v>
      </x:c>
    </x:row>
    <x:row r="131" ht="45" customHeight="1">
      <x:c r="A131" t="str">
        <x:v>Davante Adams</x:v>
      </x:c>
      <x:c r="B131" t="str">
        <x:v>Receiving TD</x:v>
      </x:c>
      <x:c r="C131" s="42" t="n">
        <x:v>0.33569760000000004</x:v>
      </x:c>
      <x:c r="D131" s="42" t="n">
        <x:v>0.43</x:v>
      </x:c>
      <x:c r="E131" s="42" t="n">
        <x:v>0.09430239999999995</x:v>
      </x:c>
      <x:c r="F131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31" s="31" t="str">
        <x:v>https://www.therams.com/team/injury-report/</x:v>
      </x:c>
      <x:c r="H131" s="31" t="str">
        <x:v>2026-09-24 7:40 PM CT</x:v>
      </x:c>
    </x:row>
    <x:row r="132" ht="45" customHeight="1">
      <x:c r="A132" t="str">
        <x:v>Davante Adams</x:v>
      </x:c>
      <x:c r="B132" t="str">
        <x:v>Routes</x:v>
      </x:c>
      <x:c r="C132" s="42" t="n">
        <x:v>31.377391304347828</x:v>
      </x:c>
      <x:c r="D132" s="42" t="n">
        <x:v>32</x:v>
      </x:c>
      <x:c r="E132" s="42" t="n">
        <x:v>0.6226086956521719</x:v>
      </x:c>
      <x:c r="F132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32" s="31" t="str">
        <x:v>https://www.therams.com/team/injury-report/</x:v>
      </x:c>
      <x:c r="H132" s="31" t="str">
        <x:v>2026-09-24 7:40 PM CT</x:v>
      </x:c>
    </x:row>
    <x:row r="133" ht="45" customHeight="1">
      <x:c r="A133" t="str">
        <x:v>Davante Adams</x:v>
      </x:c>
      <x:c r="B133" t="str">
        <x:v>Route %</x:v>
      </x:c>
      <x:c r="C133" s="42" t="n">
        <x:v>0.78</x:v>
      </x:c>
      <x:c r="D133" s="42" t="n">
        <x:v>0.9411764705882353</x:v>
      </x:c>
      <x:c r="E133" s="42" t="n">
        <x:v>0.16117647058823525</x:v>
      </x:c>
      <x:c r="F133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33" s="31" t="str">
        <x:v>https://www.therams.com/team/injury-report/</x:v>
      </x:c>
      <x:c r="H133" s="31" t="str">
        <x:v>2026-09-24 7:40 PM CT</x:v>
      </x:c>
    </x:row>
    <x:row r="134" ht="45" customHeight="1">
      <x:c r="A134" t="str">
        <x:v>Davante Adams</x:v>
      </x:c>
      <x:c r="B134" t="str">
        <x:v>Role Value</x:v>
      </x:c>
      <x:c r="C134" s="42" t="n">
        <x:v>31.377391304347828</x:v>
      </x:c>
      <x:c r="D134" s="42" t="n">
        <x:v>32</x:v>
      </x:c>
      <x:c r="E134" s="42" t="n">
        <x:v>0.6226086956521719</x:v>
      </x:c>
      <x:c r="F134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34" s="31" t="str">
        <x:v>https://www.therams.com/team/injury-report/</x:v>
      </x:c>
      <x:c r="H134" s="31" t="str">
        <x:v>2026-09-24 7:40 PM CT</x:v>
      </x:c>
    </x:row>
    <x:row r="135" ht="45" customHeight="1">
      <x:c r="A135" t="str">
        <x:v>Davante Adams</x:v>
      </x:c>
      <x:c r="B135" t="str">
        <x:v>Expected Snaps</x:v>
      </x:c>
      <x:c r="C135" s="42" t="n">
        <x:v>56.160000000000004</x:v>
      </x:c>
      <x:c r="D135" s="42" t="n">
        <x:v>55</x:v>
      </x:c>
      <x:c r="E135" s="42" t="n">
        <x:v>-1.1600000000000037</x:v>
      </x:c>
      <x:c r="F135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35" s="31" t="str">
        <x:v>https://www.therams.com/team/injury-report/</x:v>
      </x:c>
      <x:c r="H135" s="31" t="str">
        <x:v>2026-09-24 7:40 PM CT</x:v>
      </x:c>
    </x:row>
    <x:row r="136" ht="45" customHeight="1">
      <x:c r="A136" t="str">
        <x:v>Davante Adams</x:v>
      </x:c>
      <x:c r="B136" t="str">
        <x:v>Teammate Redistribution</x:v>
      </x:c>
      <x:c r="C136" s="42" t="n">
        <x:v>1.08</x:v>
      </x:c>
      <x:c r="D136" s="42" t="n">
        <x:v>1</x:v>
      </x:c>
      <x:c r="E136" s="42" t="n">
        <x:v>-0.08000000000000007</x:v>
      </x:c>
      <x:c r="F136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36" s="31" t="str">
        <x:v>https://www.therams.com/team/injury-report/</x:v>
      </x:c>
      <x:c r="H136" s="31" t="str">
        <x:v>2026-09-24 7:40 PM CT</x:v>
      </x:c>
    </x:row>
    <x:row r="137" ht="45" customHeight="1">
      <x:c r="A137" t="str">
        <x:v>Terrance Ferguson</x:v>
      </x:c>
      <x:c r="B137" t="str">
        <x:v>Targets</x:v>
      </x:c>
      <x:c r="C137" s="42" t="n">
        <x:v>5.475496688741722</x:v>
      </x:c>
      <x:c r="D137" s="42" t="n">
        <x:v>6.25</x:v>
      </x:c>
      <x:c r="E137" s="42" t="n">
        <x:v>0.774503311258278</x:v>
      </x:c>
      <x:c r="F137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37" s="31" t="str">
        <x:v>https://www.therams.com/team/injury-report/</x:v>
      </x:c>
      <x:c r="H137" s="31" t="str">
        <x:v>2026-09-24 7:40 PM CT</x:v>
      </x:c>
    </x:row>
    <x:row r="138" ht="45" customHeight="1">
      <x:c r="A138" t="str">
        <x:v>Terrance Ferguson</x:v>
      </x:c>
      <x:c r="B138" t="str">
        <x:v>Receptions</x:v>
      </x:c>
      <x:c r="C138" s="42" t="n">
        <x:v>3.8328476821192052</x:v>
      </x:c>
      <x:c r="D138" s="42" t="n">
        <x:v>4.4</x:v>
      </x:c>
      <x:c r="E138" s="42" t="n">
        <x:v>0.5671523178807951</x:v>
      </x:c>
      <x:c r="F138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38" s="31" t="str">
        <x:v>https://www.therams.com/team/injury-report/</x:v>
      </x:c>
      <x:c r="H138" s="31" t="str">
        <x:v>2026-09-24 7:40 PM CT</x:v>
      </x:c>
    </x:row>
    <x:row r="139" ht="45" customHeight="1">
      <x:c r="A139" t="str">
        <x:v>Terrance Ferguson</x:v>
      </x:c>
      <x:c r="B139" t="str">
        <x:v>Receiving Yds</x:v>
      </x:c>
      <x:c r="C139" s="42" t="n">
        <x:v>41.50864529801325</x:v>
      </x:c>
      <x:c r="D139" s="42" t="n">
        <x:v>47</x:v>
      </x:c>
      <x:c r="E139" s="42" t="n">
        <x:v>5.491354701986751</x:v>
      </x:c>
      <x:c r="F139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39" s="31" t="str">
        <x:v>https://www.therams.com/team/injury-report/</x:v>
      </x:c>
      <x:c r="H139" s="31" t="str">
        <x:v>2026-09-24 7:40 PM CT</x:v>
      </x:c>
    </x:row>
    <x:row r="140" ht="45" customHeight="1">
      <x:c r="A140" t="str">
        <x:v>Terrance Ferguson</x:v>
      </x:c>
      <x:c r="B140" t="str">
        <x:v>Receiving TD</x:v>
      </x:c>
      <x:c r="C140" s="42" t="n">
        <x:v>0.3113148397350994</x:v>
      </x:c>
      <x:c r="D140" s="42" t="n">
        <x:v>0.35</x:v>
      </x:c>
      <x:c r="E140" s="42" t="n">
        <x:v>0.0386851602649006</x:v>
      </x:c>
      <x:c r="F140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40" s="31" t="str">
        <x:v>https://www.therams.com/team/injury-report/</x:v>
      </x:c>
      <x:c r="H140" s="31" t="str">
        <x:v>2026-09-24 7:40 PM CT</x:v>
      </x:c>
    </x:row>
    <x:row r="141" ht="45" customHeight="1">
      <x:c r="A141" t="str">
        <x:v>Terrance Ferguson</x:v>
      </x:c>
      <x:c r="B141" t="str">
        <x:v>Routes</x:v>
      </x:c>
      <x:c r="C141" s="42" t="n">
        <x:v>27.37748344370861</x:v>
      </x:c>
      <x:c r="D141" s="42" t="n">
        <x:v>27</x:v>
      </x:c>
      <x:c r="E141" s="42" t="n">
        <x:v>-0.3774834437086092</x:v>
      </x:c>
      <x:c r="F141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41" s="31" t="str">
        <x:v>https://www.therams.com/team/injury-report/</x:v>
      </x:c>
      <x:c r="H141" s="31" t="str">
        <x:v>2026-09-24 7:40 PM CT</x:v>
      </x:c>
    </x:row>
    <x:row r="142" ht="45" customHeight="1">
      <x:c r="A142" t="str">
        <x:v>Terrance Ferguson</x:v>
      </x:c>
      <x:c r="B142" t="str">
        <x:v>Route %</x:v>
      </x:c>
      <x:c r="C142" s="42" t="n">
        <x:v>0.68</x:v>
      </x:c>
      <x:c r="D142" s="42" t="n">
        <x:v>0.7941176470588235</x:v>
      </x:c>
      <x:c r="E142" s="42" t="n">
        <x:v>0.11411764705882343</x:v>
      </x:c>
      <x:c r="F142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42" s="31" t="str">
        <x:v>https://www.therams.com/team/injury-report/</x:v>
      </x:c>
      <x:c r="H142" s="31" t="str">
        <x:v>2026-09-24 7:40 PM CT</x:v>
      </x:c>
    </x:row>
    <x:row r="143" ht="45" customHeight="1">
      <x:c r="A143" t="str">
        <x:v>Terrance Ferguson</x:v>
      </x:c>
      <x:c r="B143" t="str">
        <x:v>Role Value</x:v>
      </x:c>
      <x:c r="C143" s="42" t="n">
        <x:v>27.37748344370861</x:v>
      </x:c>
      <x:c r="D143" s="42" t="n">
        <x:v>27</x:v>
      </x:c>
      <x:c r="E143" s="42" t="n">
        <x:v>-0.3774834437086092</x:v>
      </x:c>
      <x:c r="F143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43" s="31" t="str">
        <x:v>https://www.therams.com/team/injury-report/</x:v>
      </x:c>
      <x:c r="H143" s="31" t="str">
        <x:v>2026-09-24 7:40 PM CT</x:v>
      </x:c>
    </x:row>
    <x:row r="144" ht="45" customHeight="1">
      <x:c r="A144" t="str">
        <x:v>Terrance Ferguson</x:v>
      </x:c>
      <x:c r="B144" t="str">
        <x:v>Expected Snaps</x:v>
      </x:c>
      <x:c r="C144" s="42" t="n">
        <x:v>46.64</x:v>
      </x:c>
      <x:c r="D144" s="42" t="n">
        <x:v>47</x:v>
      </x:c>
      <x:c r="E144" s="42" t="n">
        <x:v>0.35999999999999943</x:v>
      </x:c>
      <x:c r="F144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44" s="31" t="str">
        <x:v>https://www.therams.com/team/injury-report/</x:v>
      </x:c>
      <x:c r="H144" s="31" t="str">
        <x:v>2026-09-24 7:40 PM CT</x:v>
      </x:c>
    </x:row>
    <x:row r="145" ht="45" customHeight="1">
      <x:c r="A145" t="str">
        <x:v>Terrance Ferguson</x:v>
      </x:c>
      <x:c r="B145" t="str">
        <x:v>Teammate Redistribution</x:v>
      </x:c>
      <x:c r="C145" s="42" t="n">
        <x:v>1.06</x:v>
      </x:c>
      <x:c r="D145" s="42" t="n">
        <x:v>1</x:v>
      </x:c>
      <x:c r="E145" s="42" t="n">
        <x:v>-0.06000000000000005</x:v>
      </x:c>
      <x:c r="F145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45" s="31" t="str">
        <x:v>https://www.therams.com/team/injury-report/</x:v>
      </x:c>
      <x:c r="H145" s="31" t="str">
        <x:v>2026-09-24 7:40 PM CT</x:v>
      </x:c>
    </x:row>
    <x:row r="146" ht="45" customHeight="1">
      <x:c r="A146" t="str">
        <x:v>Davante Adams</x:v>
      </x:c>
      <x:c r="B146" t="str">
        <x:v>Route %</x:v>
      </x:c>
      <x:c r="C146" s="42" t="n">
        <x:v>0.78</x:v>
      </x:c>
      <x:c r="D146" s="42" t="n">
        <x:v>0.8888888888888888</x:v>
      </x:c>
      <x:c r="E146" s="42" t="n">
        <x:v>0.10888888888888881</x:v>
      </x:c>
      <x:c r="F146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46" s="31" t="str">
        <x:v>https://www.therams.com/team/injury-report/</x:v>
      </x:c>
      <x:c r="H146" s="31" t="str">
        <x:v>2026-09-24 7:40 PM CT</x:v>
      </x:c>
    </x:row>
    <x:row r="147" ht="45" customHeight="1">
      <x:c r="A147" t="str">
        <x:v>Terrance Ferguson</x:v>
      </x:c>
      <x:c r="B147" t="str">
        <x:v>Route %</x:v>
      </x:c>
      <x:c r="C147" s="42" t="n">
        <x:v>0.68</x:v>
      </x:c>
      <x:c r="D147" s="42" t="n">
        <x:v>0.75</x:v>
      </x:c>
      <x:c r="E147" s="42" t="n">
        <x:v>0.06999999999999995</x:v>
      </x:c>
      <x:c r="F147" s="31" t="str">
        <x:v>Nacua scenario:75%out/25%active editorial weights. Adams targets9out/6active; Ferguson7out/4active. Other receivers,backs and tight ends retain residual volume. FergusonThursdayFP supports usability; no guaranteed nine-target repeat.</x:v>
      </x:c>
      <x:c r="G147" s="31" t="str">
        <x:v>https://www.therams.com/team/injury-report/</x:v>
      </x:c>
      <x:c r="H147" s="31" t="str">
        <x:v>2026-09-24 7:40 PM CT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41" t="str">
        <x:v>Team / scope</x:v>
      </x:c>
      <x:c r="B1" s="41" t="str">
        <x:v>Attempts</x:v>
      </x:c>
      <x:c r="C1" s="41" t="str">
        <x:v>Targets</x:v>
      </x:c>
      <x:c r="D1" s="41" t="str">
        <x:v>Completions</x:v>
      </x:c>
      <x:c r="E1" s="41" t="str">
        <x:v>Yards</x:v>
      </x:c>
      <x:c r="F1" s="41" t="str">
        <x:v>Pass TD</x:v>
      </x:c>
    </x:row>
    <x:row r="2">
      <x:c r="A2" t="str">
        <x:v>GB corrected model</x:v>
      </x:c>
      <x:c r="B2" s="42" t="n">
        <x:v>29.139664804469277</x:v>
      </x:c>
      <x:c r="C2" s="42" t="n">
        <x:v>28</x:v>
      </x:c>
      <x:c r="D2" s="42" t="n">
        <x:v>19.122905027932962</x:v>
      </x:c>
      <x:c r="E2" s="42" t="n">
        <x:v>216.23088268156425</x:v>
      </x:c>
      <x:c r="F2" s="42" t="n">
        <x:v>1.3653754189944136</x:v>
      </x:c>
    </x:row>
    <x:row r="3">
      <x:c r="A3" t="str">
        <x:v>GB ranked receivers</x:v>
      </x:c>
      <x:c r="B3" s="42"/>
      <x:c r="C3" s="42" t="n">
        <x:v>26.2</x:v>
      </x:c>
      <x:c r="D3" s="42" t="n">
        <x:v>17.4</x:v>
      </x:c>
      <x:c r="E3" s="42" t="n">
        <x:v>203</x:v>
      </x:c>
      <x:c r="F3" s="42" t="n">
        <x:v>1.2</x:v>
      </x:c>
    </x:row>
    <x:row r="4">
      <x:c r="A4" t="str">
        <x:v>GB other depth</x:v>
      </x:c>
      <x:c r="B4" s="42"/>
      <x:c r="C4" s="42" t="n">
        <x:v>1.8</x:v>
      </x:c>
      <x:c r="D4" s="42" t="n">
        <x:v>1.722905027932962</x:v>
      </x:c>
      <x:c r="E4" s="42" t="n">
        <x:v>13.23088268156425</x:v>
      </x:c>
      <x:c r="F4" s="42" t="n">
        <x:v>0.1653754189944136</x:v>
      </x:c>
    </x:row>
    <x:row r="5">
      <x:c r="A5" t="str">
        <x:v>NYG corrected model</x:v>
      </x:c>
      <x:c r="B5" s="42" t="n">
        <x:v>32</x:v>
      </x:c>
      <x:c r="C5" s="42" t="n">
        <x:v>31</x:v>
      </x:c>
      <x:c r="D5" s="42" t="n">
        <x:v>19</x:v>
      </x:c>
      <x:c r="E5" s="42" t="n">
        <x:v>212</x:v>
      </x:c>
      <x:c r="F5" s="42" t="n">
        <x:v>1.2</x:v>
      </x:c>
    </x:row>
    <x:row r="6">
      <x:c r="A6" t="str">
        <x:v>NYG ranked receivers</x:v>
      </x:c>
      <x:c r="B6" s="42"/>
      <x:c r="C6" s="42" t="n">
        <x:v>25.178887346238493</x:v>
      </x:c>
      <x:c r="D6" s="42" t="n">
        <x:v>16.479242508139716</x:v>
      </x:c>
      <x:c r="E6" s="42" t="n">
        <x:v>171.05079013390747</x:v>
      </x:c>
      <x:c r="F6" s="42" t="n">
        <x:v>0.9816117918237975</x:v>
      </x:c>
    </x:row>
    <x:row r="7">
      <x:c r="A7" t="str">
        <x:v>NYG other depth</x:v>
      </x:c>
      <x:c r="B7" s="42"/>
      <x:c r="C7" s="42" t="n">
        <x:v>5.8211126537615066</x:v>
      </x:c>
      <x:c r="D7" s="42" t="n">
        <x:v>2.5207574918602837</x:v>
      </x:c>
      <x:c r="E7" s="42" t="n">
        <x:v>40.94920986609253</x:v>
      </x:c>
      <x:c r="F7" s="42" t="n">
        <x:v>0.21838820817620241</x:v>
      </x:c>
    </x:row>
    <x:row r="8">
      <x:c r="A8" t="str">
        <x:v>CHI mixed-QB scenario</x:v>
      </x:c>
      <x:c r="B8" s="42" t="n">
        <x:v>30</x:v>
      </x:c>
      <x:c r="C8" s="42" t="n">
        <x:v>29</x:v>
      </x:c>
      <x:c r="D8" s="42" t="n">
        <x:v>18</x:v>
      </x:c>
      <x:c r="E8" s="42" t="n">
        <x:v>190</x:v>
      </x:c>
      <x:c r="F8" s="42" t="n">
        <x:v>1</x:v>
      </x:c>
    </x:row>
    <x:row r="9">
      <x:c r="A9" t="str">
        <x:v>CHI three featured catchers</x:v>
      </x:c>
      <x:c r="B9" s="42"/>
      <x:c r="C9" s="42" t="n">
        <x:v>19</x:v>
      </x:c>
      <x:c r="D9" s="42" t="n">
        <x:v>12.3</x:v>
      </x:c>
      <x:c r="E9" s="42" t="n">
        <x:v>129</x:v>
      </x:c>
      <x:c r="F9" s="42" t="n">
        <x:v>0.68</x:v>
      </x:c>
    </x:row>
    <x:row r="10">
      <x:c r="A10" t="str">
        <x:v>CHI backs/other residual</x:v>
      </x:c>
      <x:c r="B10" s="42"/>
      <x:c r="C10" s="42" t="n">
        <x:v>10</x:v>
      </x:c>
      <x:c r="D10" s="42" t="n">
        <x:v>5.7</x:v>
      </x:c>
      <x:c r="E10" s="42" t="n">
        <x:v>61</x:v>
      </x:c>
      <x:c r="F10" s="42" t="n">
        <x:v>0.32</x:v>
      </x:c>
    </x:row>
    <x:row r="12">
      <x:c r="A12" t="str">
        <x:v>Routes are simultaneous; do not sum individual routes against team dropbacks.</x:v>
      </x:c>
      <x:c r="B12"/>
      <x:c r="C12"/>
      <x:c r="D12"/>
      <x:c r="E12"/>
      <x:c r="F12"/>
    </x:row>
    <x:row r="13">
      <x:c r="A13" t="str">
        <x:v>GB34dropbacks; Watson31,Golden30,Kraft28. Chicago34dropbacks. Rams36dropbacks.</x:v>
      </x:c>
      <x:c r="B13"/>
      <x:c r="C13"/>
      <x:c r="D13"/>
      <x:c r="E13"/>
      <x:c r="F13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41" t="str">
        <x:v>Player</x:v>
      </x:c>
      <x:c r="B1" s="41" t="str">
        <x:v>Position</x:v>
      </x:c>
      <x:c r="C1" s="41" t="str">
        <x:v>Prior rank</x:v>
      </x:c>
      <x:c r="D1" s="41" t="str">
        <x:v>New rank</x:v>
      </x:c>
      <x:c r="E1" s="41" t="str">
        <x:v>Prior points</x:v>
      </x:c>
      <x:c r="F1" s="41" t="str">
        <x:v>New points</x:v>
      </x:c>
      <x:c r="G1" s="41" t="str">
        <x:v>Point effect</x:v>
      </x:c>
    </x:row>
    <x:row r="2">
      <x:c r="A2" t="str">
        <x:v>Jameis Winston</x:v>
      </x:c>
      <x:c r="B2" t="str">
        <x:v>QB</x:v>
      </x:c>
      <x:c r="C2" t="n">
        <x:v>12</x:v>
      </x:c>
      <x:c r="D2" t="n">
        <x:v>29</x:v>
      </x:c>
      <x:c r="E2" s="42" t="n">
        <x:v>16.03</x:v>
      </x:c>
      <x:c r="F2" s="42" t="n">
        <x:v>11.96</x:v>
      </x:c>
      <x:c r="G2" s="42" t="n">
        <x:v>-4.07</x:v>
      </x:c>
    </x:row>
    <x:row r="3">
      <x:c r="A3" t="str">
        <x:v>Cam Skattebo</x:v>
      </x:c>
      <x:c r="B3" t="str">
        <x:v>RB</x:v>
      </x:c>
      <x:c r="C3" t="n">
        <x:v>25</x:v>
      </x:c>
      <x:c r="D3" t="n">
        <x:v>25</x:v>
      </x:c>
      <x:c r="E3" s="42" t="n">
        <x:v>9.62</x:v>
      </x:c>
      <x:c r="F3" s="42" t="n">
        <x:v>9.32</x:v>
      </x:c>
      <x:c r="G3" s="42" t="n">
        <x:v>-0.29999999999999893</x:v>
      </x:c>
    </x:row>
    <x:row r="4">
      <x:c r="A4" t="str">
        <x:v>Tyrone Tracy Jr.</x:v>
      </x:c>
      <x:c r="B4" t="str">
        <x:v>RB</x:v>
      </x:c>
      <x:c r="C4" t="n">
        <x:v>41</x:v>
      </x:c>
      <x:c r="D4" t="n">
        <x:v>40</x:v>
      </x:c>
      <x:c r="E4" s="42" t="n">
        <x:v>6.38</x:v>
      </x:c>
      <x:c r="F4" s="42" t="n">
        <x:v>6.18</x:v>
      </x:c>
      <x:c r="G4" s="42" t="n">
        <x:v>-0.20000000000000018</x:v>
      </x:c>
    </x:row>
    <x:row r="5">
      <x:c r="A5" t="str">
        <x:v>Kaleb Johnson</x:v>
      </x:c>
      <x:c r="B5" t="str">
        <x:v>RB</x:v>
      </x:c>
      <x:c r="C5" t="n">
        <x:v>59</x:v>
      </x:c>
      <x:c r="D5" t="n">
        <x:v>47</x:v>
      </x:c>
      <x:c r="E5" s="42" t="n">
        <x:v>3.89</x:v>
      </x:c>
      <x:c r="F5" s="42" t="n">
        <x:v>5.82</x:v>
      </x:c>
      <x:c r="G5" s="42" t="n">
        <x:v>1.9300000000000002</x:v>
      </x:c>
    </x:row>
    <x:row r="6">
      <x:c r="A6" t="str">
        <x:v>MarShawn Lloyd</x:v>
      </x:c>
      <x:c r="B6" t="str">
        <x:v>RB</x:v>
      </x:c>
      <x:c r="C6" t="n">
        <x:v>31</x:v>
      </x:c>
      <x:c r="D6" t="n">
        <x:v>52</x:v>
      </x:c>
      <x:c r="E6" s="42" t="n">
        <x:v>8.03</x:v>
      </x:c>
      <x:c r="F6" s="42" t="n">
        <x:v>5.1</x:v>
      </x:c>
      <x:c r="G6" s="42" t="n">
        <x:v>-2.9299999999999997</x:v>
      </x:c>
    </x:row>
    <x:row r="7">
      <x:c r="A7" t="str">
        <x:v>Chris Brooks</x:v>
      </x:c>
      <x:c r="B7" t="str">
        <x:v>RB</x:v>
      </x:c>
      <x:c r="C7" t="n">
        <x:v>64</x:v>
      </x:c>
      <x:c r="D7" t="n">
        <x:v>61</x:v>
      </x:c>
      <x:c r="E7" s="42" t="n">
        <x:v>3.28</x:v>
      </x:c>
      <x:c r="F7" s="42" t="n">
        <x:v>3.86</x:v>
      </x:c>
      <x:c r="G7" s="42" t="n">
        <x:v>0.5800000000000001</x:v>
      </x:c>
    </x:row>
    <x:row r="8">
      <x:c r="A8" t="str">
        <x:v>Najee Harris</x:v>
      </x:c>
      <x:c r="B8" t="str">
        <x:v>RB</x:v>
      </x:c>
      <x:c r="C8" t="n">
        <x:v>61</x:v>
      </x:c>
      <x:c r="D8" t="n">
        <x:v>62</x:v>
      </x:c>
      <x:c r="E8" s="42" t="n">
        <x:v>3.83</x:v>
      </x:c>
      <x:c r="F8" s="42" t="n">
        <x:v>3.71</x:v>
      </x:c>
      <x:c r="G8" s="42" t="n">
        <x:v>-0.1200000000000001</x:v>
      </x:c>
    </x:row>
    <x:row r="9">
      <x:c r="A9" t="str">
        <x:v>Devin Singletary</x:v>
      </x:c>
      <x:c r="B9" t="str">
        <x:v>RB</x:v>
      </x:c>
      <x:c r="C9" t="n">
        <x:v>74</x:v>
      </x:c>
      <x:c r="D9" t="n">
        <x:v>75</x:v>
      </x:c>
      <x:c r="E9" s="42" t="n">
        <x:v>2.45</x:v>
      </x:c>
      <x:c r="F9" s="42" t="n">
        <x:v>2.38</x:v>
      </x:c>
      <x:c r="G9" s="42" t="n">
        <x:v>-0.07000000000000028</x:v>
      </x:c>
    </x:row>
    <x:row r="10">
      <x:c r="A10" t="str">
        <x:v>Christian Watson</x:v>
      </x:c>
      <x:c r="B10" t="str">
        <x:v>WR</x:v>
      </x:c>
      <x:c r="C10" t="n">
        <x:v>11</x:v>
      </x:c>
      <x:c r="D10" t="n">
        <x:v>5</x:v>
      </x:c>
      <x:c r="E10" s="42" t="n">
        <x:v>11.55</x:v>
      </x:c>
      <x:c r="F10" s="42" t="n">
        <x:v>12.72</x:v>
      </x:c>
      <x:c r="G10" s="42" t="n">
        <x:v>1.17</x:v>
      </x:c>
    </x:row>
    <x:row r="11">
      <x:c r="A11" t="str">
        <x:v>Davante Adams</x:v>
      </x:c>
      <x:c r="B11" t="str">
        <x:v>WR</x:v>
      </x:c>
      <x:c r="C11" t="n">
        <x:v>20</x:v>
      </x:c>
      <x:c r="D11" t="n">
        <x:v>9</x:v>
      </x:c>
      <x:c r="E11" s="42" t="n">
        <x:v>10.05</x:v>
      </x:c>
      <x:c r="F11" s="42" t="n">
        <x:v>11.9</x:v>
      </x:c>
      <x:c r="G11" s="42" t="n">
        <x:v>1.8499999999999996</x:v>
      </x:c>
    </x:row>
    <x:row r="12">
      <x:c r="A12" t="str">
        <x:v>Matthew Golden</x:v>
      </x:c>
      <x:c r="B12" t="str">
        <x:v>WR</x:v>
      </x:c>
      <x:c r="C12" t="n">
        <x:v>7</x:v>
      </x:c>
      <x:c r="D12" t="n">
        <x:v>19</x:v>
      </x:c>
      <x:c r="E12" s="42" t="n">
        <x:v>12.23</x:v>
      </x:c>
      <x:c r="F12" s="42" t="n">
        <x:v>9.88</x:v>
      </x:c>
      <x:c r="G12" s="42" t="n">
        <x:v>-2.3499999999999996</x:v>
      </x:c>
    </x:row>
    <x:row r="13">
      <x:c r="A13" t="str">
        <x:v>Malik Nabers</x:v>
      </x:c>
      <x:c r="B13" t="str">
        <x:v>WR</x:v>
      </x:c>
      <x:c r="C13" t="n">
        <x:v>22</x:v>
      </x:c>
      <x:c r="D13" t="n">
        <x:v>29</x:v>
      </x:c>
      <x:c r="E13" s="42" t="n">
        <x:v>9.64</x:v>
      </x:c>
      <x:c r="F13" s="42" t="n">
        <x:v>8.7</x:v>
      </x:c>
      <x:c r="G13" s="42" t="n">
        <x:v>-0.9400000000000013</x:v>
      </x:c>
    </x:row>
    <x:row r="14">
      <x:c r="A14" t="str">
        <x:v>Rome Odunze</x:v>
      </x:c>
      <x:c r="B14" t="str">
        <x:v>WR</x:v>
      </x:c>
      <x:c r="C14" t="n">
        <x:v>15</x:v>
      </x:c>
      <x:c r="D14" t="n">
        <x:v>30</x:v>
      </x:c>
      <x:c r="E14" s="42" t="n">
        <x:v>10.71</x:v>
      </x:c>
      <x:c r="F14" s="42" t="n">
        <x:v>8.54</x:v>
      </x:c>
      <x:c r="G14" s="42" t="n">
        <x:v>-2.1700000000000017</x:v>
      </x:c>
    </x:row>
    <x:row r="15">
      <x:c r="A15" t="str">
        <x:v>Luther Burden III</x:v>
      </x:c>
      <x:c r="B15" t="str">
        <x:v>WR</x:v>
      </x:c>
      <x:c r="C15" t="n">
        <x:v>23</x:v>
      </x:c>
      <x:c r="D15" t="n">
        <x:v>37</x:v>
      </x:c>
      <x:c r="E15" s="42" t="n">
        <x:v>9.61</x:v>
      </x:c>
      <x:c r="F15" s="42" t="n">
        <x:v>7.33</x:v>
      </x:c>
      <x:c r="G15" s="42" t="n">
        <x:v>-2.2799999999999994</x:v>
      </x:c>
    </x:row>
    <x:row r="16">
      <x:c r="A16" t="str">
        <x:v>Malachi Fields</x:v>
      </x:c>
      <x:c r="B16" t="str">
        <x:v>WR</x:v>
      </x:c>
      <x:c r="C16" t="n">
        <x:v>60</x:v>
      </x:c>
      <x:c r="D16" t="n">
        <x:v>64</x:v>
      </x:c>
      <x:c r="E16" s="42" t="n">
        <x:v>5.61</x:v>
      </x:c>
      <x:c r="F16" s="42" t="n">
        <x:v>5.06</x:v>
      </x:c>
      <x:c r="G16" s="42" t="n">
        <x:v>-0.5500000000000007</x:v>
      </x:c>
    </x:row>
    <x:row r="17">
      <x:c r="A17" t="str">
        <x:v>Puka Nacua</x:v>
      </x:c>
      <x:c r="B17" t="str">
        <x:v>WR</x:v>
      </x:c>
      <x:c r="C17" t="n">
        <x:v>24</x:v>
      </x:c>
      <x:c r="D17" t="n">
        <x:v>80</x:v>
      </x:c>
      <x:c r="E17" s="42" t="n">
        <x:v>9.43</x:v>
      </x:c>
      <x:c r="F17" s="42" t="n">
        <x:v>3.8</x:v>
      </x:c>
      <x:c r="G17" s="42" t="n">
        <x:v>-5.63</x:v>
      </x:c>
    </x:row>
    <x:row r="18">
      <x:c r="A18" t="str">
        <x:v>Darnell Mooney</x:v>
      </x:c>
      <x:c r="B18" t="str">
        <x:v>WR</x:v>
      </x:c>
      <x:c r="C18" t="n">
        <x:v>87</x:v>
      </x:c>
      <x:c r="D18" t="n">
        <x:v>90</x:v>
      </x:c>
      <x:c r="E18" s="42" t="n">
        <x:v>3.54</x:v>
      </x:c>
      <x:c r="F18" s="42" t="n">
        <x:v>3.2</x:v>
      </x:c>
      <x:c r="G18" s="42" t="n">
        <x:v>-0.33999999999999986</x:v>
      </x:c>
    </x:row>
    <x:row r="19">
      <x:c r="A19" t="str">
        <x:v>Tucker Kraft</x:v>
      </x:c>
      <x:c r="B19" t="str">
        <x:v>TE</x:v>
      </x:c>
      <x:c r="C19" t="n">
        <x:v>5</x:v>
      </x:c>
      <x:c r="D19" t="n">
        <x:v>5</x:v>
      </x:c>
      <x:c r="E19" s="42" t="n">
        <x:v>9.77</x:v>
      </x:c>
      <x:c r="F19" s="42" t="n">
        <x:v>9.79</x:v>
      </x:c>
      <x:c r="G19" s="42" t="n">
        <x:v>0.019999999999999574</x:v>
      </x:c>
    </x:row>
    <x:row r="20">
      <x:c r="A20" t="str">
        <x:v>Terrance Ferguson</x:v>
      </x:c>
      <x:c r="B20" t="str">
        <x:v>TE</x:v>
      </x:c>
      <x:c r="C20" t="n">
        <x:v>12</x:v>
      </x:c>
      <x:c r="D20" t="n">
        <x:v>9</x:v>
      </x:c>
      <x:c r="E20" s="42" t="n">
        <x:v>7.94</x:v>
      </x:c>
      <x:c r="F20" s="42" t="n">
        <x:v>9</x:v>
      </x:c>
      <x:c r="G20" s="42" t="n">
        <x:v>1.0599999999999996</x:v>
      </x:c>
    </x:row>
    <x:row r="21">
      <x:c r="A21" t="str">
        <x:v>Isaiah Likely</x:v>
      </x:c>
      <x:c r="B21" t="str">
        <x:v>TE</x:v>
      </x:c>
      <x:c r="C21" t="n">
        <x:v>10</x:v>
      </x:c>
      <x:c r="D21" t="n">
        <x:v>13</x:v>
      </x:c>
      <x:c r="E21" s="42" t="n">
        <x:v>8.66</x:v>
      </x:c>
      <x:c r="F21" s="42" t="n">
        <x:v>7.79</x:v>
      </x:c>
      <x:c r="G21" s="42" t="n">
        <x:v>-0.8700000000000001</x:v>
      </x:c>
    </x:row>
    <x:row r="22">
      <x:c r="A22" t="str">
        <x:v>Colston Loveland</x:v>
      </x:c>
      <x:c r="B22" t="str">
        <x:v>TE</x:v>
      </x:c>
      <x:c r="C22" t="n">
        <x:v>7</x:v>
      </x:c>
      <x:c r="D22" t="n">
        <x:v>15</x:v>
      </x:c>
      <x:c r="E22" s="42" t="n">
        <x:v>9.53</x:v>
      </x:c>
      <x:c r="F22" s="42" t="n">
        <x:v>7.64</x:v>
      </x:c>
      <x:c r="G22" s="42" t="n">
        <x:v>-1.8899999999999997</x:v>
      </x:c>
    </x:row>
    <x:row r="23">
      <x:c r="E23" s="42"/>
      <x:c r="F23" s="42"/>
      <x:c r="G23" s="42"/>
    </x:row>
    <x:row r="24">
      <x:c r="E24" s="42"/>
      <x:c r="F24" s="42"/>
      <x:c r="G24" s="42"/>
    </x:row>
    <x:row r="25">
      <x:c r="E25" s="42"/>
      <x:c r="F25" s="42"/>
      <x:c r="G25" s="42"/>
    </x:row>
    <x:row r="26">
      <x:c r="E26" s="42"/>
      <x:c r="F26" s="42"/>
      <x:c r="G26" s="42"/>
    </x:row>
    <x:row r="27">
      <x:c r="E27" s="42"/>
      <x:c r="F27" s="42"/>
      <x:c r="G27" s="42"/>
    </x:row>
    <x:row r="28">
      <x:c r="E28" s="42"/>
      <x:c r="F28" s="42"/>
      <x:c r="G28" s="42"/>
    </x:row>
    <x:row r="29">
      <x:c r="E29" s="42"/>
      <x:c r="F29" s="42"/>
      <x:c r="G29" s="42"/>
    </x:row>
    <x:row r="30">
      <x:c r="E30" s="42"/>
      <x:c r="F30" s="42"/>
      <x:c r="G30" s="42"/>
    </x:row>
    <x:row r="31">
      <x:c r="E31" s="42"/>
      <x:c r="F31" s="42"/>
      <x:c r="G31" s="42"/>
    </x:row>
    <x:row r="32">
      <x:c r="E32" s="42"/>
      <x:c r="F32" s="42"/>
      <x:c r="G32" s="42"/>
    </x:row>
    <x:row r="33">
      <x:c r="E33" s="42"/>
      <x:c r="F33" s="42"/>
      <x:c r="G33" s="42"/>
    </x:row>
    <x:row r="34">
      <x:c r="E34" s="42"/>
      <x:c r="F34" s="42"/>
      <x:c r="G34" s="42"/>
    </x:row>
    <x:row r="35">
      <x:c r="E35" s="42"/>
      <x:c r="F35" s="42"/>
      <x:c r="G35" s="42"/>
    </x:row>
    <x:row r="36">
      <x:c r="E36" s="42"/>
      <x:c r="F36" s="42"/>
      <x:c r="G36" s="42"/>
    </x:row>
    <x:row r="37">
      <x:c r="E37" s="42"/>
      <x:c r="F37" s="42"/>
      <x:c r="G37" s="42"/>
    </x:row>
    <x:row r="38">
      <x:c r="E38" s="42"/>
      <x:c r="F38" s="42"/>
      <x:c r="G38" s="42"/>
    </x:row>
    <x:row r="39">
      <x:c r="E39" s="42"/>
      <x:c r="F39" s="42"/>
      <x:c r="G39" s="42"/>
    </x:row>
    <x:row r="40">
      <x:c r="E40" s="42"/>
      <x:c r="F40" s="42"/>
      <x:c r="G40" s="42"/>
    </x:row>
  </x:sheetData>
  <x:pageMargins left="0.7" right="0.7" top="0.75" bottom="0.75" header="0.3" footer="0.3"/>
</x:worksheet>
</file>